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315" windowWidth="12120" windowHeight="8640" tabRatio="303" activeTab="1"/>
  </bookViews>
  <sheets>
    <sheet name="ORCA" sheetId="1" r:id="rId1"/>
    <sheet name="CFF" sheetId="2" r:id="rId2"/>
  </sheets>
  <definedNames>
    <definedName name="_xlnm.Print_Area" localSheetId="0">'ORCA'!$A$1:$G$447</definedName>
    <definedName name="_xlnm.Print_Titles" localSheetId="0">'ORCA'!$1:$9</definedName>
  </definedNames>
  <calcPr fullCalcOnLoad="1"/>
</workbook>
</file>

<file path=xl/sharedStrings.xml><?xml version="1.0" encoding="utf-8"?>
<sst xmlns="http://schemas.openxmlformats.org/spreadsheetml/2006/main" count="1170" uniqueCount="720">
  <si>
    <t>ITEM</t>
  </si>
  <si>
    <t>1.2</t>
  </si>
  <si>
    <t>1.3</t>
  </si>
  <si>
    <t>1.4</t>
  </si>
  <si>
    <t>m²</t>
  </si>
  <si>
    <t>1.5</t>
  </si>
  <si>
    <t>m³</t>
  </si>
  <si>
    <t>SUPRA-ESTRUTURA</t>
  </si>
  <si>
    <t>IMPERMEABILIZAÇÕES</t>
  </si>
  <si>
    <t>ESQUADRIAS</t>
  </si>
  <si>
    <t>COBERTURA E PROTEÇÕES</t>
  </si>
  <si>
    <t>PINTURA</t>
  </si>
  <si>
    <t>m</t>
  </si>
  <si>
    <t>JOELHO DE PVC 90 = 100 MM</t>
  </si>
  <si>
    <t>Pç</t>
  </si>
  <si>
    <t>LIMPEZA FINAL E ENTREGA DA OBRA</t>
  </si>
  <si>
    <t>TOTAL</t>
  </si>
  <si>
    <t>MOVIMENTO EM TERRA</t>
  </si>
  <si>
    <t>pç</t>
  </si>
  <si>
    <t>DISCRIMINAÇÃO DOS SERVIÇOS</t>
  </si>
  <si>
    <t>UNID</t>
  </si>
  <si>
    <t>QUANT</t>
  </si>
  <si>
    <t xml:space="preserve">PROJETO : </t>
  </si>
  <si>
    <t>LOCAL: :</t>
  </si>
  <si>
    <t>PLACA DE OBRA</t>
  </si>
  <si>
    <t>2.1</t>
  </si>
  <si>
    <t>4.1</t>
  </si>
  <si>
    <t>4.2</t>
  </si>
  <si>
    <t>5.1</t>
  </si>
  <si>
    <t>7.1</t>
  </si>
  <si>
    <t>9.1</t>
  </si>
  <si>
    <t>10.1</t>
  </si>
  <si>
    <t>10.2</t>
  </si>
  <si>
    <t>11.2</t>
  </si>
  <si>
    <t>SERVIÇOS INICIAIS</t>
  </si>
  <si>
    <t>un</t>
  </si>
  <si>
    <t>PREFEITURA MUNICIPAL DE TIMBÓ</t>
  </si>
  <si>
    <t xml:space="preserve"> </t>
  </si>
  <si>
    <t>CRONOGRAMA FISICO E FINANCEIRO</t>
  </si>
  <si>
    <t>ETAPAS</t>
  </si>
  <si>
    <t>30 DIAS</t>
  </si>
  <si>
    <t>60 DIAS</t>
  </si>
  <si>
    <t>90 DIAS</t>
  </si>
  <si>
    <t>120 DIAS</t>
  </si>
  <si>
    <t>R$</t>
  </si>
  <si>
    <t>%</t>
  </si>
  <si>
    <t>% PARCIAL</t>
  </si>
  <si>
    <t>VALOR ACUM. PARCIAL</t>
  </si>
  <si>
    <t>VALOR ACUM. GLOBAL</t>
  </si>
  <si>
    <t>REVESTIMENTOS</t>
  </si>
  <si>
    <t>VALOR TOTAL</t>
  </si>
  <si>
    <t>VALOR</t>
  </si>
  <si>
    <t>BARRACÃO PROVISÓRIO PARA DEPÓSITO DE MATERIAIS, ESCRITÓRIO E REFEITÓRIO</t>
  </si>
  <si>
    <t>Vb</t>
  </si>
  <si>
    <t>6.1</t>
  </si>
  <si>
    <t>15.2</t>
  </si>
  <si>
    <t>15.1</t>
  </si>
  <si>
    <t>15.3</t>
  </si>
  <si>
    <t>12.1</t>
  </si>
  <si>
    <t>1.1</t>
  </si>
  <si>
    <t>16.1</t>
  </si>
  <si>
    <t>ml</t>
  </si>
  <si>
    <t>TUBO PVC P/DESCIDA DE AP - 100 MM</t>
  </si>
  <si>
    <t>PREVENTIVO CONTRA INCÊNDIO</t>
  </si>
  <si>
    <t>LOCAÇÃO DA OBRA</t>
  </si>
  <si>
    <t>ESCAVAÇÃO MANUAL PROF. ATÉ 2M</t>
  </si>
  <si>
    <t>PAREDES E PAINÉIS</t>
  </si>
  <si>
    <t>LIMPEZA DA OBRA COM REMOÇÃO DE ENTULHOS (Interna e Externamente)</t>
  </si>
  <si>
    <t>TOTAL DA ETAPA</t>
  </si>
  <si>
    <t>TOTAL GERAL</t>
  </si>
  <si>
    <t>1º MÊS</t>
  </si>
  <si>
    <t>2º MÊS</t>
  </si>
  <si>
    <t>3º MÊS</t>
  </si>
  <si>
    <t>4º MÊS</t>
  </si>
  <si>
    <t>3.1</t>
  </si>
  <si>
    <t>DRENAGEM PLUVIAL</t>
  </si>
  <si>
    <t>9.2</t>
  </si>
  <si>
    <t>10.3</t>
  </si>
  <si>
    <t>3.3</t>
  </si>
  <si>
    <t>Obs.: Área Medida em Projeção Horizontal</t>
  </si>
  <si>
    <t>PREÇO (CUSTO+BDI)</t>
  </si>
  <si>
    <t>SECRETARIA DE PLANEJAMENTO, TRÂNSITO E MEIO AMBIENTE</t>
  </si>
  <si>
    <t>PINTURA NOS TETOS EM ACRILICO FOSCO NA COR BRANCA, CONFORME MEMORIAL DESCRITIVO E PROJETO ARQUITETÔNICO (2 demão)</t>
  </si>
  <si>
    <t>8.2</t>
  </si>
  <si>
    <t>2.2</t>
  </si>
  <si>
    <t>CAIXA DE AREIA 60x60 EM CONCRETO COM TAMPA</t>
  </si>
  <si>
    <t>DESPESAS INICIAIS</t>
  </si>
  <si>
    <t xml:space="preserve">VIGAS DE BALDRAME EM CONCRETO ARMADO Fck=25 MPa </t>
  </si>
  <si>
    <t xml:space="preserve">VIGAS EM CONCRETO ARMADO  Fck=25MPa </t>
  </si>
  <si>
    <t xml:space="preserve">PILARES DE CONCRETO ARMADO Fck=25 MPa </t>
  </si>
  <si>
    <t>FUNDO PREPARADOR NAS PAREDES INTERNAS E EXTERNAS, REBOCADAS CONFORME MEMORIAL DESCRITIVO E PROJETO ARQUITETÔNICO (1 demão)</t>
  </si>
  <si>
    <t>FUNDO PREPARADOR NOS TETOS REBOCADOS CONFORME MEMORIAL DESCRITIVO E PROJETO ARQUITETÔNICO (1 demão)</t>
  </si>
  <si>
    <t>Obs.: O concreto armado é completo, e  inclui  escoramentos, pregos, armaduras, formas, espaçadores, lançamento, vibração,cura, desforma Fck = 25 Mpa, as vigas deverão ser com forma resinada</t>
  </si>
  <si>
    <t>Obs.: O concreto armado é completo, e  inclui  escoramentos, pregos, armaduras, formas, espaçadores, lançamento, vibração,cura, desforma Fck = 25 Mpa, as vigas e pilares deverão ser com forma resinada</t>
  </si>
  <si>
    <t>REATERRO DAS FUNDAÇÕES</t>
  </si>
  <si>
    <t>IMPERMEABILIZAÇÃO COM MANTA ASFÁLTICA DE VIGAS DE BALDRAME</t>
  </si>
  <si>
    <t>C10.24.05.05.005</t>
  </si>
  <si>
    <t>C10.24.20.04.005</t>
  </si>
  <si>
    <t>C10.24.20.20.010</t>
  </si>
  <si>
    <t>C35.25.35.15.005</t>
  </si>
  <si>
    <t>16.2</t>
  </si>
  <si>
    <t>16.3</t>
  </si>
  <si>
    <t>17.1</t>
  </si>
  <si>
    <t>17.2</t>
  </si>
  <si>
    <t>19.1</t>
  </si>
  <si>
    <t>LAJE DE FORRO PRÉ-MOLDADA COM MALHA DE AÇO E AÇO NEGATIVO (conforme espec. fabricante) COM CAPEAMENTO DE 4cm DE ESPESSURA</t>
  </si>
  <si>
    <t>ALVENARIA DE TIJOLOS 6 FUROS PARA REBOCO 02 LADOS (10x14x29cm) A CHATO</t>
  </si>
  <si>
    <t>C10.32.05.20.010</t>
  </si>
  <si>
    <t>I10.40.60.10.005</t>
  </si>
  <si>
    <t>DRENO AR CONDICIONADO (25 mm)</t>
  </si>
  <si>
    <t>RAMPA DE ACESSIBILIDADE</t>
  </si>
  <si>
    <t>19.2</t>
  </si>
  <si>
    <t>19.3</t>
  </si>
  <si>
    <t>20.1</t>
  </si>
  <si>
    <t>8.1</t>
  </si>
  <si>
    <t>15.4</t>
  </si>
  <si>
    <t>15.5</t>
  </si>
  <si>
    <t>15.6</t>
  </si>
  <si>
    <t xml:space="preserve">VIGAS EM CONCRETO ARMADO 15x30 Fck=25 MPa </t>
  </si>
  <si>
    <t>CERÂMICA CARGA PESADA PEI-4, EXTRA,  45x45cm ANTI-DERAPANTE (RAMPA)</t>
  </si>
  <si>
    <t>PINGADEIRA DE ALUMÍNIO</t>
  </si>
  <si>
    <t>VERGAS E CONTRA VERGA DE CONCRETO ARMADO C/15cm DE ALT. C/FERRAGEM TRELIÇADA</t>
  </si>
  <si>
    <t>C10.48.05.05.005</t>
  </si>
  <si>
    <t>C10.48.05.15.005</t>
  </si>
  <si>
    <t>CHAPISCO EM  PAREDES, LAJES, VIGAS E PILARES, TRAÇO 1:4  Espessura  7mm INTERNA E EXTERNAMENTE, INCLUINDO REQUADROS.</t>
  </si>
  <si>
    <t xml:space="preserve">REBOCO EM PAREDES, LAJE, VIGAS E PILARES, TRAÇO 1:3:8  15mm INTERNA E EXTERNAMENTE </t>
  </si>
  <si>
    <t>CHAPISCO NO TETO, TRAÇO 1:4  Espessura  7mm INTERNA E EXTERNAMENTE, INCLUINDO REQUADROS.</t>
  </si>
  <si>
    <t>REBOCO NO TETO INTERNA E EXTERNAMENTE, TRAÇO 1:3:8  15mm INTERNA E EXTERNAMENTE</t>
  </si>
  <si>
    <t>9.3</t>
  </si>
  <si>
    <t>9.4</t>
  </si>
  <si>
    <t>10.4</t>
  </si>
  <si>
    <t>10.5</t>
  </si>
  <si>
    <t>C10.56.15.10.010</t>
  </si>
  <si>
    <t>RUFO  DE ALUMÍNIO COM ESPESSURA DE 0,7mm</t>
  </si>
  <si>
    <t>CORRIMÃO EM AÇO GALVANIZADO COM PINTURA EPOXI - COR A DEFINIR</t>
  </si>
  <si>
    <t>RODAPÉ VINÍLICO ALTURA 7cm</t>
  </si>
  <si>
    <t>CALHA DE ALUMÍNIO 0,7 mm</t>
  </si>
  <si>
    <t>21.1</t>
  </si>
  <si>
    <t>19.5</t>
  </si>
  <si>
    <t>19.6</t>
  </si>
  <si>
    <t>20.2</t>
  </si>
  <si>
    <t>20.3</t>
  </si>
  <si>
    <t>20.4</t>
  </si>
  <si>
    <t xml:space="preserve">INSTALAÇÕES  ELÉTRICAS  </t>
  </si>
  <si>
    <t>5º MÊS</t>
  </si>
  <si>
    <t>6º MÊS</t>
  </si>
  <si>
    <t>150 DIAS</t>
  </si>
  <si>
    <t>180 DIAS</t>
  </si>
  <si>
    <t>PAVIMENTAÇÕES</t>
  </si>
  <si>
    <t>C10.28.30.10.016</t>
  </si>
  <si>
    <t>CONSTRUÇÃO DA ESCOLA MUNICIPAL NESTOR MARGARIDA</t>
  </si>
  <si>
    <t>C25.10.05.05.024</t>
  </si>
  <si>
    <t>INSTALAÇÕES SANITÁRIAS</t>
  </si>
  <si>
    <t>INSTALAÇÕES HIDRÁULICAS</t>
  </si>
  <si>
    <t>COBERTURA EM TELHA DE FIBROCIMENTO 6mm COM GANCHOS E MÃO DE OBRA</t>
  </si>
  <si>
    <t>13.2</t>
  </si>
  <si>
    <t>C10.36.15.05.012</t>
  </si>
  <si>
    <t>6.2</t>
  </si>
  <si>
    <t>PLACA PRÉ-FABRICADA EM GRANITO ESP. 3cm</t>
  </si>
  <si>
    <t>RUA ARAPONGUINHAS, 1137 - BAIRRO ARAPONGUINHAS - TIMBÓ SC</t>
  </si>
  <si>
    <t>2.3</t>
  </si>
  <si>
    <t>CUMEEIRA DE FIBROCIMENTO</t>
  </si>
  <si>
    <t>C16.25.10.28.010</t>
  </si>
  <si>
    <t>SISTEMA DE FOSSA E FILTRO EM BLOCO DE CONCRETO CONFORME NBR 7229/93 E NBR 13.969/97 (CONFORME PROJETO)</t>
  </si>
  <si>
    <t>12.2</t>
  </si>
  <si>
    <t>12.3</t>
  </si>
  <si>
    <t>12.4</t>
  </si>
  <si>
    <t>12.5</t>
  </si>
  <si>
    <t>12.6</t>
  </si>
  <si>
    <t>CAIXA DE INSPEÇÃO EM CONCRETO (DIMENSÕES: 60 x 60 x 80 cm) COM TAMPA EM CONCRETO PRÉ-MOLDADO E ALÇA EM AÇO</t>
  </si>
  <si>
    <t>unid</t>
  </si>
  <si>
    <t>JOELHO DE PVC P/ ESG. PREDIAL 45° (40mm)</t>
  </si>
  <si>
    <t>JOELHO DE PVC P/ ESG. PREDIAL 45° (50mm)</t>
  </si>
  <si>
    <t>JOELHO DE PVC P/ ESG. PREDIAL 45° (100mm)</t>
  </si>
  <si>
    <t>JOELHO DE PVC P/ ESG. PREDIAL 90° (40mm)</t>
  </si>
  <si>
    <t>JOELHO DE PVC P/ ESG. PREDIAL 90° (50mm)</t>
  </si>
  <si>
    <t>JOELHO DE PVC P/ ESG. PREDIAL 90° (100mm)</t>
  </si>
  <si>
    <t>JUNÇÃO DE PVC P/ ESG. PREDIAL (100x50mm)</t>
  </si>
  <si>
    <t>JUNÇÃO DE PVC P/ ESG. PREDIAL (100x100mm)</t>
  </si>
  <si>
    <t>TUBULAÇÃO DE PVC P/ ESG. PREDIAL (40mm)</t>
  </si>
  <si>
    <t>TUBULAÇÃO DE PVC P/ ESG. PREDIAL (50mm)</t>
  </si>
  <si>
    <t>TUBULAÇÃO DE PVC P/ ESG. PREDIAL (100mm)</t>
  </si>
  <si>
    <t>LUVA SIMPLES DE PVC P/ ESG. PREDIAL (100mm)</t>
  </si>
  <si>
    <t>LUVA SIMPLES DE PVC P/ ESG. PREDIAL  (50mm)</t>
  </si>
  <si>
    <t>LUVA SIMPLES DE PVC P/ ESG. PREDIAL (40mm)</t>
  </si>
  <si>
    <t>TE SANITÁRIO DE PVC P/ ESG. PREDIAL (40x40mm)</t>
  </si>
  <si>
    <t>TE SANITÁRIO DE PVC P/ ESG. PREDIAL (50x50mm)</t>
  </si>
  <si>
    <t>RALO SECO CÔNICO C/ GRELHA REDONDA BRANCA (100x40mm)</t>
  </si>
  <si>
    <t>JUNÇÃO DE PVC P/ ESG. PREDIAL (50x40mm)</t>
  </si>
  <si>
    <t>11.3</t>
  </si>
  <si>
    <t>11.1</t>
  </si>
  <si>
    <t>TUBO PVC SOLDÁVEL P/ ÁGUA FRIA PREDIAL (25 mm)</t>
  </si>
  <si>
    <t xml:space="preserve">REGISTRO DE GAVETA COM CANOPLA METÁLICA CROMADA (25 mm)  </t>
  </si>
  <si>
    <t>C20.05.05.25.005</t>
  </si>
  <si>
    <t>DESMONTE DE PAREDES DE DIVISÓRIAS DE GESSO ACARTONADO</t>
  </si>
  <si>
    <t>C20.05.05.30.011</t>
  </si>
  <si>
    <t>C20.05.10.10.010</t>
  </si>
  <si>
    <t>C20.05.10.20.010</t>
  </si>
  <si>
    <t>REMOÇÃO DE ESQUADRIAS METÁLICAS</t>
  </si>
  <si>
    <t>DEMOLIÇÃO DE ALVENARIA</t>
  </si>
  <si>
    <t>C20.05.15.15.010</t>
  </si>
  <si>
    <t>2.4</t>
  </si>
  <si>
    <t>C20.05.10.15.005</t>
  </si>
  <si>
    <t>C10.08.05.15.015</t>
  </si>
  <si>
    <t xml:space="preserve">TAPUME EM CHAPA DE COMPENSADO - ESP.=10mm e altura 2,20m C/ PINTURA A CAL TODO </t>
  </si>
  <si>
    <t>EQUIPAMENTOS E APARELHOS</t>
  </si>
  <si>
    <t>I10.70.05.25.005</t>
  </si>
  <si>
    <t>TORNEIRA DE PAREDE (ACABAMENTO CROMADO) ACIONAMENTO HIDROMECÂNICO (INSTALADA)</t>
  </si>
  <si>
    <t>TORNEIRA DE MESA (ACABAMENTO CROMADO) ACIONAMENTO HIDROMECÂNICO (INSTALADA)</t>
  </si>
  <si>
    <t>BACIA SIFONADA COM CX. ACOPLADA DE LOUÇA BRANCA COM TAMPA E ACESSÓRIOS (INSTALADA)</t>
  </si>
  <si>
    <t>MICTÓRIO SIFONADO DE LOUÇA BRANCA C/ ACESSÓRIOS (INSTALADA)</t>
  </si>
  <si>
    <t>LAVATÓRIO DE LOUÇA BRANCA C/ ACESSÓRIOS</t>
  </si>
  <si>
    <t>14.1</t>
  </si>
  <si>
    <t>14.2</t>
  </si>
  <si>
    <t>14.3</t>
  </si>
  <si>
    <t>PREÇO UNIT (MAT + MO)</t>
  </si>
  <si>
    <t>CERÂMICA CARGA PESADA PEI-4, EXTRA,  45x45cm ANTI-DERAPANTE (CORREDORES / GALPÃO)</t>
  </si>
  <si>
    <t>SOLEIRA DE GRANITO CINZA ANDORINHA ESP = 1CM; LARGURA= 15CM</t>
  </si>
  <si>
    <t>REMOÇÃO DE CALÇADA DE PAVER</t>
  </si>
  <si>
    <t>BDI</t>
  </si>
  <si>
    <t>PINTURA NAS PAREDES INTERNAS E EXTERNAS, REBOCADAS CONFORME MEMORIAL DESCRITIVO E PROJETO ARQUITETÔNICO (2 demão)</t>
  </si>
  <si>
    <t>SAPATA EM CONCRETO ARMADO Fck=25 MPa</t>
  </si>
  <si>
    <t>PREÇO (UNIT.MAT + BDI)</t>
  </si>
  <si>
    <t>PLANILHA DE ORÇAMENTO</t>
  </si>
  <si>
    <t>C10.72.22.50.002+C10.72.22.50.053</t>
  </si>
  <si>
    <t>C10.72.22.20.005</t>
  </si>
  <si>
    <t>C10.72.20.35.001</t>
  </si>
  <si>
    <t>C10.72.20.35.002</t>
  </si>
  <si>
    <t>C10.72.20.35.004</t>
  </si>
  <si>
    <t>C10.72.20.35.010</t>
  </si>
  <si>
    <t>C10.72.20.35.013</t>
  </si>
  <si>
    <t>C10.72.20.40.006</t>
  </si>
  <si>
    <t>C10.72.20.40.008</t>
  </si>
  <si>
    <t>C10.72.20.40.002</t>
  </si>
  <si>
    <t>C10.72.20.65.001</t>
  </si>
  <si>
    <t>C10.72.20.65.002</t>
  </si>
  <si>
    <t>C10.72.20.65.004</t>
  </si>
  <si>
    <t>C10.72.20.45.001</t>
  </si>
  <si>
    <t>C10.72.20.45.002</t>
  </si>
  <si>
    <t>C10.72.20.45.004</t>
  </si>
  <si>
    <t>C10.72.20.60.001</t>
  </si>
  <si>
    <t>C10.72.20.60.002</t>
  </si>
  <si>
    <t>I21.30.05.05.0005</t>
  </si>
  <si>
    <t xml:space="preserve"> C10.72.22.60.005</t>
  </si>
  <si>
    <t>C10.72.19.75.001</t>
  </si>
  <si>
    <t>C10.72.19.75.053</t>
  </si>
  <si>
    <t>BEBEDOURO INOX ELÉTRICO DE PRESSÃO, CAP. 40L, (INSTALADO)</t>
  </si>
  <si>
    <t>C10.72.19.35.005</t>
  </si>
  <si>
    <t>C10.72.19.60.003</t>
  </si>
  <si>
    <t>C10.72.22.10.010</t>
  </si>
  <si>
    <t>C10.56.15.10.005</t>
  </si>
  <si>
    <t>I16.05.05.05.2620</t>
  </si>
  <si>
    <t>I16.05.05.10.3605</t>
  </si>
  <si>
    <t>PISO EM MANTA VINÍLICA HOMOGÊNEA ESP = 2MM</t>
  </si>
  <si>
    <t>C10.44.15.10.010</t>
  </si>
  <si>
    <t>RODAPÉ CERÂMICO ALTURA 8cm (CORREDORES)</t>
  </si>
  <si>
    <t>C10.44.40.15.015</t>
  </si>
  <si>
    <t>C10.44.25.12.006</t>
  </si>
  <si>
    <t xml:space="preserve"> C10.60.35.05.005 </t>
  </si>
  <si>
    <t>I05.80.10.10.005</t>
  </si>
  <si>
    <t>C10.38.22.30.005</t>
  </si>
  <si>
    <t>C10.36.22.15.017</t>
  </si>
  <si>
    <t>I05.80.10.25.012</t>
  </si>
  <si>
    <t>C10.32.20.10.011</t>
  </si>
  <si>
    <t>C10.64.15.15.005 + C10.68.25.05.005</t>
  </si>
  <si>
    <t>J01 (2,50X0,60) - JANELA DE CORRER DE ALUMÍNIO ANODIZADO FOSCO. 4 FOLHAS C/ BASCULANTE SUPERIOR</t>
  </si>
  <si>
    <t>J02 (2,50X1,30) - JANELA DE CORRER DE ALUMÍNIO ANODIZADO FOSCO. 4 FOLHAS C/ BASCULANTE SUPERIOR</t>
  </si>
  <si>
    <t>COLARINHO/PILAR EM CONCRETO ARMADO CONFORME PROJETOS Fck=25 MPa</t>
  </si>
  <si>
    <t>19.4</t>
  </si>
  <si>
    <t>19.7</t>
  </si>
  <si>
    <t>LAJE TRELIÇADA, ESP = 12cm, SOBRECARGA 300KG/m² INCLUSIVE: ENCHIMENTO CERÂMICO COM ALTURA DE 8CM, CONCRETO FCK25MPA, LANÇAMENTO DO CONCRETO, CAPEAMENTO DE 4CM E ESCORAMENTO METÁLICO.</t>
  </si>
  <si>
    <t>C10.28.25.10.015</t>
  </si>
  <si>
    <t>I05.65.25.05.022</t>
  </si>
  <si>
    <t>47% do C35.25.35.15.005</t>
  </si>
  <si>
    <t>ESCAVAÇÃO DA INFRAESTRUTURA</t>
  </si>
  <si>
    <t>TUBULÃO EM CONCRETO ARMADO (Fck=25 Mpa), CONFORME PROJETO</t>
  </si>
  <si>
    <t>C10.24.25.05.005</t>
  </si>
  <si>
    <t>PORTA DE MADEIRA EXTERNA - EIXO VERTICAL - (1x2,10)</t>
  </si>
  <si>
    <t>LAJE DE PISO PRÉ-MOLDADA COM MALHA DE AÇO E AÇO NEGATIVO (conforme espec. fabricante) COM CAPEAMENTO DE 4cm DE ESPESSURA sobrecarga=300kgf/m²</t>
  </si>
  <si>
    <t>LAJE MACIÇA EM CONCRETO ARMADO Fck=25Mpa  , ESP. 10CM</t>
  </si>
  <si>
    <t>PREPARO DO TERRENO</t>
  </si>
  <si>
    <t>LASTRO DE BRITA (BASE DAS VIGAS)</t>
  </si>
  <si>
    <t>19.8</t>
  </si>
  <si>
    <t>19.9</t>
  </si>
  <si>
    <t>CHAPISCO EM  PAREDES, LAJES, VIGAS E PILARES, TETO TRAÇO 1:4  Espessura  7mm INTERNA E EXTERNAMENTE, INCLUINDO REQUADROS.</t>
  </si>
  <si>
    <t>19.10</t>
  </si>
  <si>
    <t>19.11</t>
  </si>
  <si>
    <t>19.12</t>
  </si>
  <si>
    <t>3.2</t>
  </si>
  <si>
    <t>3.4</t>
  </si>
  <si>
    <t>3.5</t>
  </si>
  <si>
    <t>3.6</t>
  </si>
  <si>
    <t>5.2</t>
  </si>
  <si>
    <t>5.3</t>
  </si>
  <si>
    <t>6.3</t>
  </si>
  <si>
    <t>6.4</t>
  </si>
  <si>
    <t>6.5</t>
  </si>
  <si>
    <t>6.6</t>
  </si>
  <si>
    <t>9.5</t>
  </si>
  <si>
    <t>11.4</t>
  </si>
  <si>
    <t>13.1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</si>
  <si>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</si>
  <si>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</si>
  <si>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</si>
  <si>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</si>
  <si>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</si>
  <si>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</si>
  <si>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</si>
  <si>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</si>
  <si>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</si>
  <si>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</si>
  <si>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</si>
  <si>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</si>
  <si>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</si>
  <si>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</si>
  <si>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</si>
  <si>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</si>
  <si>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</si>
  <si>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18.1</t>
  </si>
  <si>
    <t>18.2</t>
  </si>
  <si>
    <t>18.3</t>
  </si>
  <si>
    <t>18.4</t>
  </si>
  <si>
    <t>18.5</t>
  </si>
  <si>
    <t>18.6</t>
  </si>
  <si>
    <t>18.7</t>
  </si>
  <si>
    <t>18.8</t>
  </si>
  <si>
    <t>C35.25.10.05.005</t>
  </si>
  <si>
    <t>C10.08.05.20.005</t>
  </si>
  <si>
    <t>SubEstação</t>
  </si>
  <si>
    <t xml:space="preserve">CABO DE CONBRE NÚ </t>
  </si>
  <si>
    <t>BITOLA 35MM².</t>
  </si>
  <si>
    <t>BITOLA 95MM².</t>
  </si>
  <si>
    <t>CABO DE COBRE FLEXÍVEL, SOLDAFLEX, BITOLA 35MM²</t>
  </si>
  <si>
    <r>
      <t xml:space="preserve">CABO DE COBRE UNIPOLAR ISOLADO PARA 1000V EM </t>
    </r>
    <r>
      <rPr>
        <b/>
        <sz val="8"/>
        <rFont val="Arial"/>
        <family val="2"/>
      </rPr>
      <t>EPR-90º</t>
    </r>
    <r>
      <rPr>
        <sz val="8"/>
        <rFont val="Arial"/>
        <family val="2"/>
      </rPr>
      <t xml:space="preserve">, NA COR </t>
    </r>
    <r>
      <rPr>
        <b/>
        <sz val="8"/>
        <rFont val="Arial"/>
        <family val="2"/>
      </rPr>
      <t>PRETA</t>
    </r>
  </si>
  <si>
    <r>
      <t xml:space="preserve">CABO DE COBRE UNIPOLAR ISOLADO PARA 1000V EM </t>
    </r>
    <r>
      <rPr>
        <b/>
        <sz val="8"/>
        <rFont val="Arial"/>
        <family val="2"/>
      </rPr>
      <t>EPR-90º</t>
    </r>
    <r>
      <rPr>
        <sz val="8"/>
        <rFont val="Arial"/>
        <family val="2"/>
      </rPr>
      <t xml:space="preserve">, NA COR </t>
    </r>
    <r>
      <rPr>
        <b/>
        <sz val="8"/>
        <rFont val="Arial"/>
        <family val="2"/>
      </rPr>
      <t>CINZA</t>
    </r>
  </si>
  <si>
    <r>
      <t xml:space="preserve">CABO DE COBRE UNIPOLAR ISOLADO PARA 1000V EM </t>
    </r>
    <r>
      <rPr>
        <b/>
        <sz val="8"/>
        <rFont val="Arial"/>
        <family val="2"/>
      </rPr>
      <t>EPR-90º</t>
    </r>
    <r>
      <rPr>
        <sz val="8"/>
        <rFont val="Arial"/>
        <family val="2"/>
      </rPr>
      <t xml:space="preserve">, NA COR </t>
    </r>
    <r>
      <rPr>
        <b/>
        <sz val="8"/>
        <rFont val="Arial"/>
        <family val="2"/>
      </rPr>
      <t>VERMELHA</t>
    </r>
  </si>
  <si>
    <r>
      <t xml:space="preserve">CABO DE COBRE UNIPOLAR ISOLADO PARA 1000V EM </t>
    </r>
    <r>
      <rPr>
        <b/>
        <sz val="8"/>
        <rFont val="Arial"/>
        <family val="2"/>
      </rPr>
      <t>EPR-90º</t>
    </r>
    <r>
      <rPr>
        <sz val="8"/>
        <rFont val="Arial"/>
        <family val="2"/>
      </rPr>
      <t xml:space="preserve">, NA COR </t>
    </r>
    <r>
      <rPr>
        <b/>
        <sz val="8"/>
        <rFont val="Arial"/>
        <family val="2"/>
      </rPr>
      <t>AZUL CLARO</t>
    </r>
  </si>
  <si>
    <r>
      <t xml:space="preserve">CABO DE COBRE UNIPOLAR ISOLADO PARA 750V EM </t>
    </r>
    <r>
      <rPr>
        <b/>
        <sz val="8"/>
        <rFont val="Arial"/>
        <family val="2"/>
      </rPr>
      <t>PVC-70°</t>
    </r>
    <r>
      <rPr>
        <sz val="8"/>
        <rFont val="Arial"/>
        <family val="2"/>
      </rPr>
      <t xml:space="preserve">, NA COR </t>
    </r>
    <r>
      <rPr>
        <b/>
        <sz val="8"/>
        <rFont val="Arial"/>
        <family val="2"/>
      </rPr>
      <t>PRETA</t>
    </r>
  </si>
  <si>
    <t>BITOLA 2,5MM².</t>
  </si>
  <si>
    <r>
      <t xml:space="preserve">CABO DE COBRE UNIPOLAR ISOLADO PARA 750V EM </t>
    </r>
    <r>
      <rPr>
        <b/>
        <sz val="8"/>
        <rFont val="Arial"/>
        <family val="2"/>
      </rPr>
      <t>PVC-70°</t>
    </r>
    <r>
      <rPr>
        <sz val="8"/>
        <rFont val="Arial"/>
        <family val="2"/>
      </rPr>
      <t xml:space="preserve">, NA COR </t>
    </r>
    <r>
      <rPr>
        <b/>
        <sz val="8"/>
        <rFont val="Arial"/>
        <family val="2"/>
      </rPr>
      <t>AZUL</t>
    </r>
  </si>
  <si>
    <r>
      <t xml:space="preserve">CABO DE COBRE UNIPOLAR ISOLADO PARA 750V EM </t>
    </r>
    <r>
      <rPr>
        <b/>
        <sz val="8"/>
        <rFont val="Arial"/>
        <family val="2"/>
      </rPr>
      <t>PVC-70°</t>
    </r>
    <r>
      <rPr>
        <sz val="8"/>
        <rFont val="Arial"/>
        <family val="2"/>
      </rPr>
      <t xml:space="preserve">, NA COR </t>
    </r>
    <r>
      <rPr>
        <b/>
        <sz val="8"/>
        <rFont val="Arial"/>
        <family val="2"/>
      </rPr>
      <t>BRANCA</t>
    </r>
  </si>
  <si>
    <t>CABO DE ALÚMINIO NÚ BITOLA DE 2 AWG, COM ALMA</t>
  </si>
  <si>
    <t>ABRAÇADEIRA PLÁSTICA HELLERMAN PRETA MODELO:</t>
  </si>
  <si>
    <t>COMPRIM= 205MM</t>
  </si>
  <si>
    <t>FITA ISOLANTE DE PVC, DA WETZEL MODELO:</t>
  </si>
  <si>
    <t>PRETA - 20MT</t>
  </si>
  <si>
    <t>TERMINAIS PRÉ-ISOLADOS, TIPO PINO, PARA CABO:</t>
  </si>
  <si>
    <t>BITOLA 16MM²</t>
  </si>
  <si>
    <t>BITOLA 25MM²</t>
  </si>
  <si>
    <t>BITOLA 35MM²</t>
  </si>
  <si>
    <t>BITOLA 70MM²</t>
  </si>
  <si>
    <t>BITOLA 95MM²</t>
  </si>
  <si>
    <t>CONECTOR BIMETÁLICO TIPO CUNHA, PADRÃO CELESC</t>
  </si>
  <si>
    <t>FITA DE SINALIZAÇÃO (CONDUTOR ELÉTRICO)</t>
  </si>
  <si>
    <t>POSTE DE CONCRETO DUPLO "T" PADRÃO CELESC, 12M/1000DAN</t>
  </si>
  <si>
    <t>CRUZETA DE CONCRETO 90X112,5X2400MM, PADRÃO CELESC</t>
  </si>
  <si>
    <t>ISOLADOR BASTÃO POLIMÉRICO 25KV, PADRÃO CELESC</t>
  </si>
  <si>
    <t>ARMAÇÃO SECUNDÁRIA PARA 1 ESTRIBO CONFORME PADRÃO CELESC</t>
  </si>
  <si>
    <t>ISOLADOR ROLDANA-VIDRO OU PORCELANA, 72X72MM CONFORME PADRÃO CELESC</t>
  </si>
  <si>
    <t>FITA DE AÇO INOX OU ALUMÍNIO</t>
  </si>
  <si>
    <t>PARA-RAIOS DE DISTRIBUIÇÃO, 21KV, PARA SISTEMA 23,1KV, 10KA COM DESLIGADOR AUTOMÁTICO 0ZN, PADRÃO CELESC</t>
  </si>
  <si>
    <t>MÃO FRANCESA PERFILADA, 726MM, PADRÃO CELESC</t>
  </si>
  <si>
    <t>CHAVE FUSÍVEL 25 KV, 100A - COM ELO FUSÍVEL DE 6K</t>
  </si>
  <si>
    <t>TRANSFORMADOR DE DISTRIBUIÇÃO, TRIFÁSICO, REFRIGERADO À ÓLEO, 225,0KVA/23100/380/220V, PADRÃO CELESC.</t>
  </si>
  <si>
    <t>ELETRODUTO DE PEAD,</t>
  </si>
  <si>
    <t>DIÂMETRO 3"</t>
  </si>
  <si>
    <t>DIÂMETRO 2"</t>
  </si>
  <si>
    <t>ELETRODUTO DE PVC RIGIDO, BARRA DE 3M.</t>
  </si>
  <si>
    <t>DIÂMETRO 4"</t>
  </si>
  <si>
    <t>DIÂMETRO 1"</t>
  </si>
  <si>
    <t>CURVA PARA ELETRODUTO DE PVC RIGIDO:</t>
  </si>
  <si>
    <t>LUVA DE EMENDA PARA ELETRODUTO DE PVC RIGIDO</t>
  </si>
  <si>
    <t>BUCHA E ARRUELA DE ALUMÍNIO PARA ELETRODUTO:</t>
  </si>
  <si>
    <t>CONECTOR BOX RETO DIÂMETRO 3/4" COM ROSCA</t>
  </si>
  <si>
    <t>BITOLA 3/4"</t>
  </si>
  <si>
    <t>ELETRODUTO DE PVC FLEXIVEL</t>
  </si>
  <si>
    <t>DIÂMETRO 3/4"</t>
  </si>
  <si>
    <t>CABEÇOTE DE ALUMÍNIO PARA ELETRODUTO DE 4"</t>
  </si>
  <si>
    <t>QUADROS E ACESSÓRIOS</t>
  </si>
  <si>
    <t>CAIXA PARA MEDIDOR DE DEMANDA TIPO MDR, PADRÃO CELESC, 55X68X25CM, EM ALUMÍNIO</t>
  </si>
  <si>
    <t>CAIXA PARA TRANSFORMADORES DE CORRENTE, PADRÃO CELESC TIPO TC-2 / 75X68X25CM, EM ALUMÍNIO</t>
  </si>
  <si>
    <t>CAIXA PARA INSTALAÇÃO DO DISJUNTOR DE PROTEÇÃO GERAL, 60X80X25CM,  EM ALUMÍNIO</t>
  </si>
  <si>
    <t>CAIXA METÁLICA DE 35X45X20CM, CONFORME N-321.0002 DA CELESC, PARA O B.E.P</t>
  </si>
  <si>
    <t>DISJUNTOR TERMOMAGNÉTICO, TRIFÁSICO, 350A CURVA C, 10KA</t>
  </si>
  <si>
    <t>DISJUNTOR TERMOMAGNÉTICO, TRIFÁSICO, 150A CURVA C, 5KA</t>
  </si>
  <si>
    <t>DISJUNTOR TERMOMAGNÉTICO, TRIFÁSICO, 80A CURVA C, 5KA</t>
  </si>
  <si>
    <t>DISJUNTOR TERMOMAGNÉTICO, MONOFÁSICO, 10A CURVA C, 5KA</t>
  </si>
  <si>
    <t>TRANSFORMADOR DE CORRENTE TC 300/5A</t>
  </si>
  <si>
    <t>MURETA HORO-SAZONAL</t>
  </si>
  <si>
    <t>HASTE DE ATERRAMENTO COPPERWELD DIÂMETRO 5/8"X244CM</t>
  </si>
  <si>
    <t xml:space="preserve">CAIXA 4"X2" COM UM INTERRUPTOR </t>
  </si>
  <si>
    <t>LUMINÁRIA BLINDADA TIPO TARTARUGA</t>
  </si>
  <si>
    <t>LÂMPADA INCANDESCENTE 60W</t>
  </si>
  <si>
    <t>CAIXA DE INSPEÇÃO DA MALHA DE ATERRAMENTO, CILINDRICA, DIMENSÕES 30X40CM</t>
  </si>
  <si>
    <t>CAIXA DE EMBUTIR SEXTAVADA PARA LAJE</t>
  </si>
  <si>
    <t>CABOS DIVERSOS</t>
  </si>
  <si>
    <t>BITOLA 25MM².</t>
  </si>
  <si>
    <r>
      <t xml:space="preserve">CABO DE COBRE UNIPOLAR ISOLADO PARA 1000V EM </t>
    </r>
    <r>
      <rPr>
        <b/>
        <sz val="8"/>
        <rFont val="Arial"/>
        <family val="2"/>
      </rPr>
      <t>EPR-90º</t>
    </r>
    <r>
      <rPr>
        <sz val="8"/>
        <rFont val="Arial"/>
        <family val="2"/>
      </rPr>
      <t xml:space="preserve">, NA COR </t>
    </r>
    <r>
      <rPr>
        <b/>
        <sz val="8"/>
        <rFont val="Arial"/>
        <family val="2"/>
      </rPr>
      <t>VERDE</t>
    </r>
  </si>
  <si>
    <t>BITOLA 16MM².</t>
  </si>
  <si>
    <t>BITOLA 4,0MM².</t>
  </si>
  <si>
    <r>
      <t xml:space="preserve">CABO DE COBRE UNIPOLAR ISOLADO PARA 750V EM </t>
    </r>
    <r>
      <rPr>
        <b/>
        <sz val="8"/>
        <rFont val="Arial"/>
        <family val="2"/>
      </rPr>
      <t>PVC-70°</t>
    </r>
    <r>
      <rPr>
        <sz val="8"/>
        <rFont val="Arial"/>
        <family val="2"/>
      </rPr>
      <t xml:space="preserve">, NA COR </t>
    </r>
    <r>
      <rPr>
        <b/>
        <sz val="8"/>
        <rFont val="Arial"/>
        <family val="2"/>
      </rPr>
      <t>VERDE</t>
    </r>
  </si>
  <si>
    <t xml:space="preserve">PERFILADO PERFURADO DE FERRO FEGA A FOGO 38X38MM, BARRA DE 6000MM, CHAPA #16 </t>
  </si>
  <si>
    <t>JUNÇÃO INTERNA PARA PERFILADO 38X38MM, TIPO:</t>
  </si>
  <si>
    <t xml:space="preserve">TIPO 'I' </t>
  </si>
  <si>
    <t xml:space="preserve">TIPO 'L' </t>
  </si>
  <si>
    <t xml:space="preserve">TIPO 'T' </t>
  </si>
  <si>
    <t>PARAFUSO LENTILHA COM UMA PORCA SEXTAVADO, UMA ARRUELA LISA E UMA ARRUELA DE PRESSÃO</t>
  </si>
  <si>
    <t>5/16"X1/2"</t>
  </si>
  <si>
    <t>GANCHO CURTO PARA PERFILADO 38X38MM, SUSPENSÃO ATRAVÉS DE BARRA ROSCADA COM + DUAS PORCAS SEXTAVADAS 1/4" E DUAS ARRUELAS LISAS 1/4"</t>
  </si>
  <si>
    <t>CANTONEIRA "ZZ" PARA VERGALHÃO ROSCADO COM DOIS PARAFUSOS CABEÇA REDONDA, COM DUAS BUCHAS S-8 + DUAS PORCAS SEXTAVADAS 1/4" E DUAS ARRUELAS LISAS 1/4"</t>
  </si>
  <si>
    <t>VERGALHÃO ROSCA TOTAL, DIÂMETRO 1/4"X3000MM</t>
  </si>
  <si>
    <t>ELETROCALHA PERFURADA FEGA A FOGO, BARRA DE 300 CM, CHAPA #18, NAS DIMENSÕES:</t>
  </si>
  <si>
    <t>100X100MM</t>
  </si>
  <si>
    <t>JUNÇÃO TELESCÓPICA ELETROCALHA FEGA A FOGO, CHAPA #18, DIMENSÕES:</t>
  </si>
  <si>
    <t>TAMPA PARA ELETROCALHA EM FEGA A FOGO, CHAPA #18, DIMENSÕES:</t>
  </si>
  <si>
    <t>CURVA HORIZONTAL 90° FEGA A FOGO, CHAPA #18, DIMENSÕES:</t>
  </si>
  <si>
    <t>TE HORIZONTAL FEGA A FOGO, CHAPA #18, DIMENSÕES:</t>
  </si>
  <si>
    <t>CURVA VERTICAL INTERNA PARA ELETROCALHA EM FEGA A FOGO, CHAPA #18, DIMENSÕES</t>
  </si>
  <si>
    <t>TE DE DESCIDA VERTICAL FEGA A FOGO, CHAPA #18, DIMENSÕES:</t>
  </si>
  <si>
    <t>TERMINAL DE FECHAMENTO PARA ELETROCALHA DE FEGA A FOGO:</t>
  </si>
  <si>
    <t>FLANGE DE FEGA A FOGO PARA ACOPLAMENTO ENTRE ELETROCALHA/PAINEL, CHAPA #18, COM DIMENSÕES:</t>
  </si>
  <si>
    <t>PARAFUSO LENTILHA COM UMA PORCA SEXTAVADO, UMA ARRUELA LISA E UMA ARRUELA DE PRESSÃO:</t>
  </si>
  <si>
    <t>1/4"X1/2"</t>
  </si>
  <si>
    <t>ACOPLAMENTO DE ELETROCALHA PARA PERFILADO 38X38MM DE FEGA A FOGO (COM PARAFUSOS DE FIXAÇÃO):</t>
  </si>
  <si>
    <t>SUPORTE TIPO IGREJA PARA ELETROCALHA EM VERGALHÃO ROSCADO 1/4" COM + DUAS PORCAS SEXTAVADAS 1/4" E DUAS ARRUELAS LISAS 1/4", DIMENSÃO:</t>
  </si>
  <si>
    <t>QUADRO DE DISTRIBUIÇÃO DE ILUMINAÇÃO E TOMADAS DE SOBREPOR, CONFECCIONADO EM CHAPAS METÁLICAS OU TERMOLASTICO AUTO EXTINGUÍVEL, CONFORME MEMORIAL DESCRITIVO, CONFORME DIAGRAMA UNIFILAR.:</t>
  </si>
  <si>
    <t>QDF-1</t>
  </si>
  <si>
    <t>BITOLA 70MM².</t>
  </si>
  <si>
    <t>BITOLA 10MM².</t>
  </si>
  <si>
    <t>BITOLA 6,0MM².</t>
  </si>
  <si>
    <t>BITOLA 10,0MM².</t>
  </si>
  <si>
    <t>200X100MM</t>
  </si>
  <si>
    <t>CURVA DE INVERSÃO 90º EM FEGA ELETROLÍTICO, CHAPA #18 DIMENSÕES:</t>
  </si>
  <si>
    <t>REDUÇÃO DE ELETROCALHA PERFURADA FEGA A FOGO, DIMENSÕES</t>
  </si>
  <si>
    <t>200X100MM PARA 100X100MM</t>
  </si>
  <si>
    <t>QDF-2</t>
  </si>
  <si>
    <t>QDF-2.1</t>
  </si>
  <si>
    <t>QDF-3</t>
  </si>
  <si>
    <t>CABO DE COBRE BLINDADO, MULTIPOLAR PARA 0,6/1KV EM PVC-105ºC, CONFORME NBR-17240, COM FITA ISOLANTE, MARCADORES, CONECTORES, ETC, CONFORME SEGUE:</t>
  </si>
  <si>
    <t>BITOLA 2#0,75MM² - LAÇO DE ALARME</t>
  </si>
  <si>
    <t>BITOLA 2#1,50MM² - LAÇO DE SIRENE</t>
  </si>
  <si>
    <t>CABO DE COBRE NU:</t>
  </si>
  <si>
    <t>BITOLA 50,00MM².</t>
  </si>
  <si>
    <t>BITOLA 35,00MM².</t>
  </si>
  <si>
    <t>BITOLA 6,00MM².</t>
  </si>
  <si>
    <r>
      <t xml:space="preserve">ELETRODUTO DE </t>
    </r>
    <r>
      <rPr>
        <b/>
        <sz val="8"/>
        <rFont val="Arial"/>
        <family val="2"/>
      </rPr>
      <t>PVC</t>
    </r>
  </si>
  <si>
    <t>DIÂMETRO 3/4" - COR VERMELHA, ANTI-CHAMA, PARA SISTEMA DE ALARME E DETECÇÃO DE INCÊNDIO</t>
  </si>
  <si>
    <t>DIÂMETRO 1" - COR PRETA, PARA SPDA</t>
  </si>
  <si>
    <r>
      <t xml:space="preserve">ABRAÇADEIRA DE FECHO RÁPIDO, PARA ELETRODUTO DE </t>
    </r>
    <r>
      <rPr>
        <b/>
        <sz val="8"/>
        <rFont val="Arial"/>
        <family val="2"/>
      </rPr>
      <t xml:space="preserve"> PVC</t>
    </r>
    <r>
      <rPr>
        <sz val="8"/>
        <rFont val="Arial"/>
        <family val="2"/>
      </rPr>
      <t>:</t>
    </r>
  </si>
  <si>
    <t>DIÂMETRO 3/4" - COR VERMELHA</t>
  </si>
  <si>
    <t>DIÂMETRO 1" - COR PRETA</t>
  </si>
  <si>
    <r>
      <t>CONDULETE DE DERIVAÇÃO MÚLTIPLA EM PVC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COM TAMPA CEGA PARA ELETRODUTO:</t>
    </r>
  </si>
  <si>
    <t>BLOCO AUTÔNOMO DE ILUMINAÇÃO DE EMERGÊNCIA COM DOIS PROJETORES HALÓGENOS DE 55W, TENSÃO DE ENTRADA 220V, AUTONÔMIA MÍNIMA DE 1 HORA</t>
  </si>
  <si>
    <t>BLOCO AUTÔNOMO DE ILUMINAÇÃO DE EMERGÊNCIA COM 01 LÂMPADA FLUORESCENTE COMPACTA DE 9W/6VCC, AUTONOMIA MÍNIMA DE 1 HORA</t>
  </si>
  <si>
    <r>
      <t xml:space="preserve">PLACA DE SAÍDA </t>
    </r>
    <r>
      <rPr>
        <b/>
        <sz val="8"/>
        <rFont val="Arial"/>
        <family val="2"/>
      </rPr>
      <t>AUTÔNOMA FACE SIMPLES</t>
    </r>
    <r>
      <rPr>
        <sz val="8"/>
        <rFont val="Arial"/>
        <family val="2"/>
      </rPr>
      <t xml:space="preserve">, EM ACRÍLICO COM LED'S 6W/6VCC COM AUTONOMIA MINIMA DE 1 HORA (DIMENSÕES </t>
    </r>
    <r>
      <rPr>
        <b/>
        <sz val="8"/>
        <color indexed="10"/>
        <rFont val="Arial"/>
        <family val="2"/>
      </rPr>
      <t>25X16CM</t>
    </r>
    <r>
      <rPr>
        <sz val="8"/>
        <rFont val="Arial"/>
        <family val="2"/>
      </rPr>
      <t>)</t>
    </r>
  </si>
  <si>
    <r>
      <t xml:space="preserve">PLACA DE SAÍDA </t>
    </r>
    <r>
      <rPr>
        <b/>
        <sz val="8"/>
        <rFont val="Arial"/>
        <family val="2"/>
      </rPr>
      <t>AUTÔNOMA FACE SIMPLES E SETA INDICATIVA,</t>
    </r>
    <r>
      <rPr>
        <sz val="8"/>
        <rFont val="Arial"/>
        <family val="2"/>
      </rPr>
      <t xml:space="preserve"> EM ACRÍLICO COM LED'S 6W/6VCC COM AUTONOMIA MINIMA DE 1 HORA (DIMENSÕES</t>
    </r>
    <r>
      <rPr>
        <b/>
        <sz val="8"/>
        <color indexed="10"/>
        <rFont val="Arial"/>
        <family val="2"/>
      </rPr>
      <t xml:space="preserve"> 25X16CM</t>
    </r>
    <r>
      <rPr>
        <sz val="8"/>
        <rFont val="Arial"/>
        <family val="2"/>
      </rPr>
      <t>)</t>
    </r>
  </si>
  <si>
    <r>
      <t xml:space="preserve">PLACA DE SAÍDA </t>
    </r>
    <r>
      <rPr>
        <b/>
        <sz val="8"/>
        <rFont val="Arial"/>
        <family val="2"/>
      </rPr>
      <t>AUTÔNOMA FACE DUPLA E SETA INDICATIVA,</t>
    </r>
    <r>
      <rPr>
        <sz val="8"/>
        <rFont val="Arial"/>
        <family val="2"/>
      </rPr>
      <t xml:space="preserve"> EM ACRÍLICO COM LED'S 6W/6VCC COM AUTONOMIA MINIMA DE 1 HORA (DIMENSÕES</t>
    </r>
    <r>
      <rPr>
        <b/>
        <sz val="8"/>
        <color indexed="10"/>
        <rFont val="Arial"/>
        <family val="2"/>
      </rPr>
      <t xml:space="preserve"> 25X16CM</t>
    </r>
    <r>
      <rPr>
        <sz val="8"/>
        <rFont val="Arial"/>
        <family val="2"/>
      </rPr>
      <t>)</t>
    </r>
  </si>
  <si>
    <t>DEVERÁ SER VERIFICADO QUE TODO O SISTEMA DEVERÁ SER INSTALADO EM CIRCUITO PRÓPRIO PARA TESTES.</t>
  </si>
  <si>
    <t>ALARME DE INCÊNDIO</t>
  </si>
  <si>
    <t>ACIONADOR DE ALARME MANUAL ENDEREÇÁVEL, TIPO "QUEBRE O VIDRO PARA ATUAR", 24VCC COM CAIXA DE SOBREPOR, IP-20, NA COR VEMELHA, COM LED INDICADOR DE FUNCIONAMENTO, PARAFUSOS, PORCAS, ARRUELAS, BUCHAS, CONECTORES, TERMINAIS, MARCADORES, ETC.</t>
  </si>
  <si>
    <t>CENTRAL DE ALARME DE INCÊNDIO ENDEREÇÁVEL E AUTOMÁTICA 220VAC/24VCC COM AUTONOMIA DE 2 HORAS EM ALARME.</t>
  </si>
  <si>
    <t>ISOLADOR DE LAÇO</t>
  </si>
  <si>
    <t>CAIXA DE ALVENARIA COM TAMPA DE CONCRETO, COM DIMENSÕES 30X30X40CM. OBS.: INSTALAR CAIXA VÍSIVEL SOBRE O PISO  PARA REALIZAR MANUTENÇÃO E VISTORIA.</t>
  </si>
  <si>
    <t>HASTE DE TERRA DIÂMETRO 5/8" X 240CM DE AÇO REVESTIDA DE COBRE, CAMADA MÍNIMA 250UM (MICRA), COM CONECTOR DE APERTO.</t>
  </si>
  <si>
    <t>CONECTOR TIPO GTDU PARA HASTE 5/8" X CABO DE COBRE NU</t>
  </si>
  <si>
    <t>SOLDA EXOTÉRMICA DE CABO DE COBRE NU #50MM²</t>
  </si>
  <si>
    <t xml:space="preserve">TERMINAL DE APERTO OU PRESSÃO TIPO SAPATA BIMETÁLICO PARA CABO DE COBRE NU </t>
  </si>
  <si>
    <t>BARRA CHATA DE ALUMÍNIO  DIMENSÕES 7/8"X1/8"</t>
  </si>
  <si>
    <t>CONFERIR MÉTODOS DE INSTALAÇÃO NO PROJETO E ATENDER ITENS DA INSTRUÇÃO NORMATIVA 10 / CBMSC E NBR5419/15</t>
  </si>
  <si>
    <t>SAÍDAS DE EMERGÊNCIA</t>
  </si>
  <si>
    <t>ATERRAMENTO</t>
  </si>
  <si>
    <t>CORRIMÃO EM TUBO AÇO GALVANIZADO H=0,80 A 0,92M, DIÂMETRO CONFORME IN09</t>
  </si>
  <si>
    <t>CORRIMÃO EM TUBO AÇO GALVANIZADO H=0,70M, DIÂMETRO CONFORME IN09</t>
  </si>
  <si>
    <t>GUARDA-CORPO EM TUBO DE AÇO GALVANIZADO H=1,10M, CONFORME IN09</t>
  </si>
  <si>
    <t>GUARDA-CORPO EM TUBO DE AÇO GALVANIZADO H=0,92M, CONFORME IN09</t>
  </si>
  <si>
    <t>EXTINTORES E ACESSÓRIOS</t>
  </si>
  <si>
    <t>EXTINTOR DE INCÊNDIO PÓ QUIMICO, CAPACIDADE DE 4KG, PQS - 4 KG, COM SUPORTE</t>
  </si>
  <si>
    <t>PLACA DE IDENTIFICAÇÃO PARA EXTINTOR LETRA E E PROIBIDO COLOCAR MATERIAL</t>
  </si>
  <si>
    <t>SISTEMA HIDRÁULICO PREVENTIVO</t>
  </si>
  <si>
    <t>FLANGE GALV. 2.1/2''</t>
  </si>
  <si>
    <t>VÁLVULA GAVETA 2.1/2'' (REGISTRO BRUTO)</t>
  </si>
  <si>
    <t>VÁLVULA RETENÇÃO HORIZONTAL 2.1/2''</t>
  </si>
  <si>
    <t>NIPLE DUPLO GALV. 2.1/2''</t>
  </si>
  <si>
    <t>CURVA AÇO CARBONO SCH40 P/ SOLDA 2.1/2'' X 90º</t>
  </si>
  <si>
    <t>TÊ GALV. 2.1/2'' X 90º</t>
  </si>
  <si>
    <t>TUBO AÇO GALVANIZADO 2.1/2'' X 6M NBR5580 L</t>
  </si>
  <si>
    <t>VÁLVULA GLOBO HIDRANTE (REG. GLOBO) 2.1/2'' X 45º (Z)</t>
  </si>
  <si>
    <t>CAIXA METÁLICA PARA HIDRANTE DE SOBREPOR DIMENSÕES 75X45X17CM</t>
  </si>
  <si>
    <t>MANGUEIRA EM FIBRA DE POLIESTER COM TECIMENTO DIAGONAL E TUBO INTERNO DE BORRACHA SINTÉTICA Ø1.1/2" - COMPRIMENTO 15M TIPO II</t>
  </si>
  <si>
    <t>ESGUICHO CÔNICO PARA MANGUEIRA 1.1/2'' COM CONEXÃO STORZ</t>
  </si>
  <si>
    <t>HIDRANTE DE RECALQUE COMPLETO</t>
  </si>
  <si>
    <t>ADAPTADOR STORZ P/ 2.1/2'' 11FPP</t>
  </si>
  <si>
    <t>TAMPÃO CEGO 2.1/2'' STORZ C/ CORRENTE</t>
  </si>
  <si>
    <t>FIO (CORDÃO) P/ ENCANADOR ROLO C/ 200GR</t>
  </si>
  <si>
    <t>ZARCÃO - TINTA P/ ROSCA DE TUBULAÇÕES 900ML</t>
  </si>
  <si>
    <t>PLACAS DE IDENTIFICAÇÃO DO HIDRANTE LETRA H</t>
  </si>
  <si>
    <t>PLACA DE SINALIZAÇÃO "PROIBIDO COLOCAR MATERIAL"</t>
  </si>
  <si>
    <t>CX. D'ÁGUA DE PLÁSTICO REFORÇADO EM FIBRA DE VIDRO COM CAPACIDADE DE 10.000L (REF. BAKOF)</t>
  </si>
  <si>
    <t>DEVERÁ SER REALIZADO A VERIFICAÇÃO DE ESCAVAÇÃO DO SOLO PARA A INSTALAÇÃO DA TUBULAÇÃO COMO TAMBÉM A REPAVIMENTAÇÃO DO LOCAL. OBS.: DEVERÁ SER REALIZADO A INSTALAÇÃO DE BLOCO DE ANCORAGEM NAS MUDANÇAS DE DIREÇÃO DA TUBULAÇÃO.</t>
  </si>
  <si>
    <t>INSTALAÇÕES DE GÁS COMBUSTÍVEL</t>
  </si>
  <si>
    <t>TEE 1.1/4"</t>
  </si>
  <si>
    <t>COTOVELO 1.1/4"</t>
  </si>
  <si>
    <t>VÁLVULA ESFERA 1.1/4"</t>
  </si>
  <si>
    <t>TREDOLET VÁLVULA RETENÇÃO P 45</t>
  </si>
  <si>
    <r>
      <t xml:space="preserve">TUBO FERRO GALVANIZADO </t>
    </r>
    <r>
      <rPr>
        <sz val="8"/>
        <rFont val="Calibri"/>
        <family val="2"/>
      </rPr>
      <t>Ø1.1</t>
    </r>
    <r>
      <rPr>
        <sz val="8"/>
        <rFont val="Arial"/>
        <family val="2"/>
      </rPr>
      <t>/4''</t>
    </r>
  </si>
  <si>
    <t>REGULADOR 1° ESTAGIO RP-21</t>
  </si>
  <si>
    <t>CENTRAL DE GÁS EM ALVENARIA COM PISO EM CONCRETO E LAJE DE CONCRETO ARMADO 2,15X1,90X2,00M</t>
  </si>
  <si>
    <t>BUJÃO 1/2"</t>
  </si>
  <si>
    <t>PLACA CENTRAL DE GÁS EM PVC</t>
  </si>
  <si>
    <t>FITA TUBO (TOURO FITA)</t>
  </si>
  <si>
    <t>MANGUEIRA FLEXÍVEL TRANÇADA EM AÇO</t>
  </si>
  <si>
    <t>REGISTRO DE FECHO RÁPIDO 1.1/4'' COM ENGATE PARA MANGUEIRA</t>
  </si>
  <si>
    <t>CILINDRO P-45</t>
  </si>
  <si>
    <t>PIG-TAIL DE COBRE OU BORRACHA COM DIÂMETRO DE 6,4MM</t>
  </si>
  <si>
    <t>ABERTURA DE VENTILAÇÃO PERMANENTE 10X15CM COM TELA ANTI-CHAMA</t>
  </si>
  <si>
    <t>PORTA TIPO VENEZIANA 0,90X2,10M</t>
  </si>
  <si>
    <t>CONJUNTO CONTROLE E MANOBRA COMPLETO</t>
  </si>
  <si>
    <t>ESTRADO DE MADEIRA</t>
  </si>
  <si>
    <t>DIVERSOS</t>
  </si>
  <si>
    <t>PLACA DE INDICAÇÃO DE PAVIMENTO</t>
  </si>
  <si>
    <t>PLACA DE SINALIZAÇÃO DE SAÍDA EM PVC ANTI-CHAMAS FOTOLUMINESCENTE 25X16CM</t>
  </si>
  <si>
    <t>PLACA DO PLANO DE EMERGÊNCIA EM FORMATO A4 IMPRESSA EM PVC OU PLASTIFICADA - COLORIDA</t>
  </si>
  <si>
    <t>PLACA DE PVC COM INSCRIÇÃO COM ADESIVO</t>
  </si>
  <si>
    <t>ELETRODUTO PVC CINZA DE ENCAIXE 3/4"</t>
  </si>
  <si>
    <t>TOMADA DE SOBREPOR COMPLETA</t>
  </si>
  <si>
    <t>MATEIRAL GESNNER R$15,20+MÃO DE OBRA IPPUJ C10.76.10.05.200</t>
  </si>
  <si>
    <t>C10.76.10.05.120</t>
  </si>
  <si>
    <t>INTERRUPTOR SIMPLES, COMPLETA</t>
  </si>
  <si>
    <t>LUMINÁRIA COM LAMPADA TIPO CALHA DE SOBREPOR COMPLETA COM PARTIDA RÁPIDA 2X40W, FORNECIMENTO E INSTALAÇÃO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</si>
  <si>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</si>
  <si>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</si>
  <si>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</si>
  <si>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</si>
  <si>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</si>
  <si>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</si>
  <si>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</si>
  <si>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</si>
  <si>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</si>
  <si>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</si>
  <si>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</si>
  <si>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</si>
  <si>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</si>
  <si>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</si>
  <si>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</si>
  <si>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</si>
  <si>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</si>
  <si>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</si>
  <si>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</si>
  <si>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</si>
  <si>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</si>
  <si>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</si>
  <si>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</si>
  <si>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</si>
  <si>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</si>
  <si>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</si>
  <si>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17.29</t>
  </si>
  <si>
    <t>17.30</t>
  </si>
  <si>
    <t>17.31</t>
  </si>
  <si>
    <t>17.32</t>
  </si>
  <si>
    <t>17.33</t>
  </si>
  <si>
    <t>17.34</t>
  </si>
  <si>
    <t>17.35</t>
  </si>
  <si>
    <t>17.36</t>
  </si>
  <si>
    <t>17.37</t>
  </si>
  <si>
    <t>17.38</t>
  </si>
  <si>
    <t>17.39</t>
  </si>
  <si>
    <t>17.40</t>
  </si>
  <si>
    <t>17.41</t>
  </si>
  <si>
    <t>17.42</t>
  </si>
  <si>
    <t>17.43</t>
  </si>
  <si>
    <t>17.44</t>
  </si>
  <si>
    <t>17.45</t>
  </si>
  <si>
    <t>17.46</t>
  </si>
  <si>
    <t>17.47</t>
  </si>
  <si>
    <t>17.48</t>
  </si>
  <si>
    <t>17.49</t>
  </si>
  <si>
    <t>17.50</t>
  </si>
  <si>
    <t>17.51</t>
  </si>
  <si>
    <t>17.52</t>
  </si>
  <si>
    <t>17.53</t>
  </si>
  <si>
    <t>17.54</t>
  </si>
  <si>
    <t>17.55</t>
  </si>
  <si>
    <t>17.56</t>
  </si>
  <si>
    <t>17.57</t>
  </si>
  <si>
    <t>17.58</t>
  </si>
  <si>
    <t>17.59</t>
  </si>
  <si>
    <t>17.60</t>
  </si>
  <si>
    <t>17.61</t>
  </si>
  <si>
    <t>17.62</t>
  </si>
  <si>
    <t>17.63</t>
  </si>
  <si>
    <t>17.64</t>
  </si>
  <si>
    <t>17.65</t>
  </si>
  <si>
    <t>17.66</t>
  </si>
  <si>
    <t>17.67</t>
  </si>
  <si>
    <t>17.68</t>
  </si>
  <si>
    <t>17.69</t>
  </si>
  <si>
    <t>17.70</t>
  </si>
  <si>
    <t>17.71</t>
  </si>
  <si>
    <t>17.72</t>
  </si>
  <si>
    <t>17.73</t>
  </si>
  <si>
    <t>17.74</t>
  </si>
  <si>
    <t>17.75</t>
  </si>
  <si>
    <t>17.76</t>
  </si>
  <si>
    <t>17.77</t>
  </si>
  <si>
    <t>17.78</t>
  </si>
  <si>
    <t>17.79</t>
  </si>
  <si>
    <t>17.80</t>
  </si>
  <si>
    <t>17.81</t>
  </si>
  <si>
    <t>17.82</t>
  </si>
  <si>
    <t>17.83</t>
  </si>
  <si>
    <t>17.84</t>
  </si>
  <si>
    <t>17.85</t>
  </si>
  <si>
    <t>17.86</t>
  </si>
  <si>
    <t>17.87</t>
  </si>
  <si>
    <t>17.88</t>
  </si>
  <si>
    <t>17.89</t>
  </si>
  <si>
    <t>17.90</t>
  </si>
  <si>
    <t>17.91</t>
  </si>
  <si>
    <t>17.92</t>
  </si>
  <si>
    <t>17.93</t>
  </si>
  <si>
    <t>17.94</t>
  </si>
  <si>
    <t>17.95</t>
  </si>
  <si>
    <t>17.96</t>
  </si>
  <si>
    <t>17.97</t>
  </si>
  <si>
    <t>17.98</t>
  </si>
  <si>
    <t>17.99</t>
  </si>
  <si>
    <t>18.9</t>
  </si>
  <si>
    <t>18.10</t>
  </si>
  <si>
    <t>18.34</t>
  </si>
  <si>
    <t>18.11</t>
  </si>
  <si>
    <t>18.12</t>
  </si>
  <si>
    <t>18.13</t>
  </si>
  <si>
    <t>18.14</t>
  </si>
  <si>
    <t>18.15</t>
  </si>
  <si>
    <t>18.16</t>
  </si>
  <si>
    <t>18.17</t>
  </si>
  <si>
    <t>18.18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</si>
  <si>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</si>
  <si>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</si>
  <si>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</si>
  <si>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</si>
  <si>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</si>
  <si>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</si>
  <si>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</si>
  <si>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</si>
  <si>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</si>
  <si>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</si>
  <si>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</si>
  <si>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</si>
  <si>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</si>
  <si>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</si>
  <si>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18.33</t>
  </si>
  <si>
    <t>18.35</t>
  </si>
  <si>
    <t>18.36</t>
  </si>
  <si>
    <t>18.37</t>
  </si>
  <si>
    <t>18.38</t>
  </si>
  <si>
    <t>18.39</t>
  </si>
  <si>
    <t>18.40</t>
  </si>
  <si>
    <t>18.41</t>
  </si>
  <si>
    <t>18.42</t>
  </si>
  <si>
    <t>18.43</t>
  </si>
  <si>
    <t>18.44</t>
  </si>
  <si>
    <t>18.45</t>
  </si>
  <si>
    <t>18.46</t>
  </si>
  <si>
    <t>18.47</t>
  </si>
  <si>
    <t>18.48</t>
  </si>
  <si>
    <t>18.49</t>
  </si>
  <si>
    <t>18.50</t>
  </si>
  <si>
    <t>18.51</t>
  </si>
  <si>
    <t>18.52</t>
  </si>
  <si>
    <t>18.53</t>
  </si>
  <si>
    <t>18.54</t>
  </si>
  <si>
    <t>18.55</t>
  </si>
  <si>
    <t>18.56</t>
  </si>
  <si>
    <t>18.57</t>
  </si>
  <si>
    <t>18.58</t>
  </si>
  <si>
    <t>18.59</t>
  </si>
  <si>
    <t>18.60</t>
  </si>
  <si>
    <t>18.61</t>
  </si>
  <si>
    <t>18.62</t>
  </si>
  <si>
    <t>18.63</t>
  </si>
  <si>
    <t>18.64</t>
  </si>
  <si>
    <t>18.65</t>
  </si>
  <si>
    <t>18.66</t>
  </si>
  <si>
    <t>18.67</t>
  </si>
  <si>
    <t>18.68</t>
  </si>
  <si>
    <t>18.69</t>
  </si>
  <si>
    <t>18.70</t>
  </si>
  <si>
    <t>18.71</t>
  </si>
  <si>
    <t>18.72</t>
  </si>
  <si>
    <t>18.73</t>
  </si>
  <si>
    <t>74220/001</t>
  </si>
  <si>
    <t>C10.32.10.05.010</t>
  </si>
  <si>
    <t>C35.25.35.15.030</t>
  </si>
  <si>
    <t>I05.55.05.10.002</t>
  </si>
  <si>
    <t>I05.65.25.15.020</t>
  </si>
  <si>
    <t>I05.65.45.05.005</t>
  </si>
  <si>
    <t>PINGADEIRA EM GRANITO CINZA ANDORINHA COM ACABAMENTO, e= 20mm / largura: 200mm (espessura: 20mm / largura: 200mm)</t>
  </si>
  <si>
    <t>C35.10.05.05.006</t>
  </si>
  <si>
    <t>REMOÇÃO DE SOLOS INSERVIVEIS COM TRANSPORTE</t>
  </si>
  <si>
    <t>DEMOLIÇÃO MECANIZADA DE CONSTRUÇÃO EXISTENTE</t>
  </si>
  <si>
    <t>REMOÇÃO DE GUARDA CORPO PARA REAPROVEITAMENTO</t>
  </si>
  <si>
    <t>m/l</t>
  </si>
  <si>
    <t>10.6</t>
  </si>
  <si>
    <t>FORRO DE PVC (HALL DE ENTRADA E SECRETÁRIA)</t>
  </si>
  <si>
    <t>Obs.: alvenarias, resvestimentos, instalações hidrossanitárias e elétricas e demais itens não listados acima, estão inclusos em seus respectivos serviços da planilha orçamentária.</t>
  </si>
  <si>
    <t>REFORMA DO BANHEIRO</t>
  </si>
  <si>
    <t>21.2</t>
  </si>
  <si>
    <t>21.3</t>
  </si>
  <si>
    <t>CLIMATIZAÇÃO</t>
  </si>
  <si>
    <t>TUBULAÇÃO DE COBRE DE INTERLIGAÇÃO COM FITA VINÍLICA DE PROTEÇÃO</t>
  </si>
  <si>
    <t>CAIXA DE PASSAGEM P/ SPLIT</t>
  </si>
  <si>
    <t>22.1</t>
  </si>
  <si>
    <t>I21.30.05.05.0010</t>
  </si>
  <si>
    <t>PREÇO DE MERCADO</t>
  </si>
  <si>
    <t>ÁREA TOTAL = 831,91m² / REFORMA BANHEIRO = 58,77m²</t>
  </si>
  <si>
    <t>REMOÇÃO MANUAL DE REVESTIMENTO CERÂMICO DE PISO (INCLUSO TRANSPORTE)</t>
  </si>
  <si>
    <t>REMOÇÃO MANUAL DE REVESTIMENTO CERÂMICO DE PAREDE (INCLUSO TRANSPORTE)</t>
  </si>
  <si>
    <t>DESMONTE DE PISO EM TACO DE MADEIRA (INCLUSO TRANSPORTE)</t>
  </si>
  <si>
    <t>INFRAESTRUTURA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</si>
</sst>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R$&quot;#,##0.00"/>
    <numFmt numFmtId="174" formatCode="_(* #,##0.000_);_(* \(#,##0.000\);_(* &quot;-&quot;??_);_(@_)"/>
    <numFmt numFmtId="175" formatCode="_(* #,##0.0000_);_(* \(#,##0.0000\);_(* &quot;-&quot;??_);_(@_)"/>
    <numFmt numFmtId="176" formatCode="0.00000"/>
    <numFmt numFmtId="177" formatCode="0.0%"/>
    <numFmt numFmtId="178" formatCode="0.000%"/>
    <numFmt numFmtId="179" formatCode="0.0000%"/>
    <numFmt numFmtId="180" formatCode="0.00000%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8"/>
      <name val="Trebuchet MS"/>
      <family val="2"/>
    </font>
    <font>
      <sz val="8"/>
      <name val="Calibri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sz val="6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b/>
      <i/>
      <sz val="8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sz val="8"/>
      <color theme="1"/>
      <name val="Calibri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thin"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2" fontId="5" fillId="0" borderId="10" xfId="47" applyFont="1" applyBorder="1" applyAlignment="1">
      <alignment/>
    </xf>
    <xf numFmtId="0" fontId="5" fillId="0" borderId="10" xfId="0" applyFont="1" applyBorder="1" applyAlignment="1">
      <alignment horizontal="right"/>
    </xf>
    <xf numFmtId="10" fontId="5" fillId="0" borderId="10" xfId="5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172" fontId="4" fillId="0" borderId="11" xfId="47" applyFont="1" applyBorder="1" applyAlignment="1">
      <alignment/>
    </xf>
    <xf numFmtId="10" fontId="4" fillId="0" borderId="12" xfId="50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173" fontId="5" fillId="0" borderId="13" xfId="0" applyNumberFormat="1" applyFont="1" applyFill="1" applyBorder="1" applyAlignment="1">
      <alignment horizontal="center"/>
    </xf>
    <xf numFmtId="171" fontId="4" fillId="0" borderId="0" xfId="61" applyFont="1" applyBorder="1" applyAlignment="1">
      <alignment horizontal="center"/>
    </xf>
    <xf numFmtId="171" fontId="4" fillId="0" borderId="0" xfId="61" applyFont="1" applyFill="1" applyBorder="1" applyAlignment="1">
      <alignment/>
    </xf>
    <xf numFmtId="171" fontId="4" fillId="0" borderId="0" xfId="61" applyFont="1" applyBorder="1" applyAlignment="1">
      <alignment/>
    </xf>
    <xf numFmtId="0" fontId="0" fillId="0" borderId="0" xfId="0" applyFont="1" applyBorder="1" applyAlignment="1">
      <alignment/>
    </xf>
    <xf numFmtId="172" fontId="3" fillId="0" borderId="0" xfId="47" applyFont="1" applyBorder="1" applyAlignment="1">
      <alignment/>
    </xf>
    <xf numFmtId="0" fontId="5" fillId="0" borderId="14" xfId="0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71" fontId="8" fillId="0" borderId="0" xfId="61" applyFont="1" applyBorder="1" applyAlignment="1">
      <alignment/>
    </xf>
    <xf numFmtId="171" fontId="4" fillId="0" borderId="0" xfId="61" applyFont="1" applyFill="1" applyBorder="1" applyAlignment="1">
      <alignment horizontal="center"/>
    </xf>
    <xf numFmtId="171" fontId="4" fillId="0" borderId="16" xfId="6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1" fontId="8" fillId="0" borderId="0" xfId="61" applyFont="1" applyFill="1" applyBorder="1" applyAlignment="1">
      <alignment/>
    </xf>
    <xf numFmtId="171" fontId="0" fillId="0" borderId="0" xfId="0" applyNumberFormat="1" applyFont="1" applyBorder="1" applyAlignment="1">
      <alignment horizontal="center"/>
    </xf>
    <xf numFmtId="171" fontId="4" fillId="0" borderId="10" xfId="61" applyFont="1" applyBorder="1" applyAlignment="1">
      <alignment horizontal="center"/>
    </xf>
    <xf numFmtId="9" fontId="5" fillId="0" borderId="14" xfId="50" applyFont="1" applyFill="1" applyBorder="1" applyAlignment="1">
      <alignment horizontal="center"/>
    </xf>
    <xf numFmtId="9" fontId="4" fillId="0" borderId="12" xfId="50" applyFont="1" applyBorder="1" applyAlignment="1">
      <alignment horizontal="center"/>
    </xf>
    <xf numFmtId="9" fontId="4" fillId="0" borderId="10" xfId="50" applyFont="1" applyBorder="1" applyAlignment="1">
      <alignment horizontal="center"/>
    </xf>
    <xf numFmtId="9" fontId="4" fillId="0" borderId="0" xfId="50" applyFont="1" applyBorder="1" applyAlignment="1">
      <alignment horizontal="center"/>
    </xf>
    <xf numFmtId="9" fontId="0" fillId="0" borderId="0" xfId="50" applyFont="1" applyBorder="1" applyAlignment="1">
      <alignment horizontal="center"/>
    </xf>
    <xf numFmtId="9" fontId="0" fillId="0" borderId="0" xfId="50" applyFont="1" applyAlignment="1">
      <alignment horizontal="center"/>
    </xf>
    <xf numFmtId="9" fontId="2" fillId="0" borderId="0" xfId="50" applyFont="1" applyAlignment="1">
      <alignment horizontal="center"/>
    </xf>
    <xf numFmtId="9" fontId="4" fillId="0" borderId="0" xfId="50" applyFont="1" applyFill="1" applyBorder="1" applyAlignment="1">
      <alignment horizontal="center"/>
    </xf>
    <xf numFmtId="171" fontId="10" fillId="0" borderId="17" xfId="0" applyNumberFormat="1" applyFont="1" applyBorder="1" applyAlignment="1">
      <alignment/>
    </xf>
    <xf numFmtId="9" fontId="10" fillId="0" borderId="18" xfId="0" applyNumberFormat="1" applyFont="1" applyBorder="1" applyAlignment="1">
      <alignment/>
    </xf>
    <xf numFmtId="0" fontId="10" fillId="0" borderId="0" xfId="0" applyFont="1" applyBorder="1" applyAlignment="1">
      <alignment/>
    </xf>
    <xf numFmtId="171" fontId="11" fillId="0" borderId="10" xfId="0" applyNumberFormat="1" applyFont="1" applyBorder="1" applyAlignment="1">
      <alignment/>
    </xf>
    <xf numFmtId="172" fontId="8" fillId="0" borderId="19" xfId="47" applyFont="1" applyBorder="1" applyAlignment="1">
      <alignment/>
    </xf>
    <xf numFmtId="172" fontId="4" fillId="0" borderId="20" xfId="47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2" xfId="0" applyFont="1" applyBorder="1" applyAlignment="1">
      <alignment/>
    </xf>
    <xf numFmtId="9" fontId="2" fillId="0" borderId="22" xfId="50" applyFont="1" applyBorder="1" applyAlignment="1">
      <alignment horizontal="center"/>
    </xf>
    <xf numFmtId="0" fontId="0" fillId="0" borderId="23" xfId="0" applyFont="1" applyBorder="1" applyAlignment="1">
      <alignment/>
    </xf>
    <xf numFmtId="172" fontId="3" fillId="0" borderId="20" xfId="47" applyFont="1" applyBorder="1" applyAlignment="1">
      <alignment/>
    </xf>
    <xf numFmtId="0" fontId="11" fillId="0" borderId="0" xfId="0" applyFont="1" applyAlignment="1">
      <alignment/>
    </xf>
    <xf numFmtId="171" fontId="4" fillId="0" borderId="10" xfId="61" applyFont="1" applyBorder="1" applyAlignment="1">
      <alignment/>
    </xf>
    <xf numFmtId="9" fontId="4" fillId="0" borderId="10" xfId="50" applyFont="1" applyBorder="1" applyAlignment="1">
      <alignment/>
    </xf>
    <xf numFmtId="0" fontId="6" fillId="0" borderId="10" xfId="0" applyFont="1" applyBorder="1" applyAlignment="1">
      <alignment/>
    </xf>
    <xf numFmtId="9" fontId="0" fillId="0" borderId="20" xfId="50" applyFont="1" applyBorder="1" applyAlignment="1">
      <alignment horizontal="center"/>
    </xf>
    <xf numFmtId="9" fontId="8" fillId="0" borderId="0" xfId="50" applyFont="1" applyFill="1" applyBorder="1" applyAlignment="1">
      <alignment horizontal="center"/>
    </xf>
    <xf numFmtId="9" fontId="8" fillId="0" borderId="0" xfId="50" applyFont="1" applyBorder="1" applyAlignment="1">
      <alignment horizontal="center"/>
    </xf>
    <xf numFmtId="9" fontId="0" fillId="0" borderId="20" xfId="50" applyFont="1" applyBorder="1" applyAlignment="1">
      <alignment horizontal="center"/>
    </xf>
    <xf numFmtId="9" fontId="2" fillId="0" borderId="20" xfId="50" applyFont="1" applyBorder="1" applyAlignment="1">
      <alignment horizontal="center"/>
    </xf>
    <xf numFmtId="0" fontId="4" fillId="0" borderId="16" xfId="47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1" fontId="4" fillId="33" borderId="10" xfId="61" applyFont="1" applyFill="1" applyBorder="1" applyAlignment="1">
      <alignment horizontal="center"/>
    </xf>
    <xf numFmtId="9" fontId="4" fillId="33" borderId="10" xfId="50" applyFont="1" applyFill="1" applyBorder="1" applyAlignment="1">
      <alignment horizontal="center"/>
    </xf>
    <xf numFmtId="171" fontId="11" fillId="33" borderId="10" xfId="0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72" fontId="8" fillId="0" borderId="25" xfId="47" applyFont="1" applyBorder="1" applyAlignment="1">
      <alignment/>
    </xf>
    <xf numFmtId="172" fontId="9" fillId="0" borderId="22" xfId="47" applyFont="1" applyBorder="1" applyAlignment="1">
      <alignment/>
    </xf>
    <xf numFmtId="172" fontId="4" fillId="0" borderId="22" xfId="47" applyFont="1" applyBorder="1" applyAlignment="1">
      <alignment/>
    </xf>
    <xf numFmtId="172" fontId="5" fillId="0" borderId="22" xfId="47" applyFont="1" applyBorder="1" applyAlignment="1">
      <alignment/>
    </xf>
    <xf numFmtId="0" fontId="0" fillId="0" borderId="22" xfId="0" applyFont="1" applyBorder="1" applyAlignment="1">
      <alignment/>
    </xf>
    <xf numFmtId="9" fontId="0" fillId="0" borderId="22" xfId="50" applyFont="1" applyBorder="1" applyAlignment="1">
      <alignment horizontal="center"/>
    </xf>
    <xf numFmtId="9" fontId="0" fillId="0" borderId="22" xfId="50" applyFont="1" applyBorder="1" applyAlignment="1">
      <alignment horizontal="center"/>
    </xf>
    <xf numFmtId="0" fontId="12" fillId="33" borderId="10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1" fontId="0" fillId="0" borderId="0" xfId="6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61" applyFont="1" applyBorder="1" applyAlignment="1">
      <alignment/>
    </xf>
    <xf numFmtId="171" fontId="14" fillId="0" borderId="0" xfId="61" applyFont="1" applyBorder="1" applyAlignment="1">
      <alignment horizontal="left"/>
    </xf>
    <xf numFmtId="171" fontId="14" fillId="0" borderId="0" xfId="61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71" fontId="15" fillId="0" borderId="0" xfId="61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10" fillId="0" borderId="0" xfId="61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1" fontId="10" fillId="0" borderId="0" xfId="61" applyFont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10" fillId="0" borderId="0" xfId="6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6" xfId="47" applyNumberFormat="1" applyFont="1" applyFill="1" applyBorder="1" applyAlignment="1">
      <alignment horizontal="center"/>
    </xf>
    <xf numFmtId="172" fontId="4" fillId="0" borderId="27" xfId="47" applyFont="1" applyFill="1" applyBorder="1" applyAlignment="1">
      <alignment/>
    </xf>
    <xf numFmtId="172" fontId="3" fillId="33" borderId="10" xfId="47" applyFont="1" applyFill="1" applyBorder="1" applyAlignment="1">
      <alignment/>
    </xf>
    <xf numFmtId="9" fontId="3" fillId="33" borderId="10" xfId="50" applyFont="1" applyFill="1" applyBorder="1" applyAlignment="1">
      <alignment/>
    </xf>
    <xf numFmtId="171" fontId="18" fillId="0" borderId="0" xfId="61" applyFont="1" applyFill="1" applyBorder="1" applyAlignment="1">
      <alignment horizontal="center"/>
    </xf>
    <xf numFmtId="171" fontId="18" fillId="0" borderId="0" xfId="6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justify" vertical="justify"/>
    </xf>
    <xf numFmtId="0" fontId="17" fillId="0" borderId="0" xfId="0" applyFont="1" applyBorder="1" applyAlignment="1">
      <alignment horizontal="justify" vertical="justify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justify" vertical="justify"/>
    </xf>
    <xf numFmtId="0" fontId="10" fillId="0" borderId="0" xfId="0" applyFont="1" applyBorder="1" applyAlignment="1">
      <alignment horizontal="justify"/>
    </xf>
    <xf numFmtId="0" fontId="10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justify" vertical="justify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justify"/>
    </xf>
    <xf numFmtId="171" fontId="11" fillId="0" borderId="0" xfId="61" applyFont="1" applyBorder="1" applyAlignment="1">
      <alignment/>
    </xf>
    <xf numFmtId="171" fontId="0" fillId="0" borderId="0" xfId="61" applyFont="1" applyFill="1" applyAlignment="1">
      <alignment/>
    </xf>
    <xf numFmtId="171" fontId="0" fillId="0" borderId="0" xfId="61" applyFont="1" applyFill="1" applyBorder="1" applyAlignment="1">
      <alignment/>
    </xf>
    <xf numFmtId="17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71" fontId="10" fillId="0" borderId="0" xfId="61" applyFont="1" applyBorder="1" applyAlignment="1">
      <alignment wrapText="1"/>
    </xf>
    <xf numFmtId="0" fontId="0" fillId="0" borderId="0" xfId="0" applyFont="1" applyAlignment="1">
      <alignment wrapText="1"/>
    </xf>
    <xf numFmtId="171" fontId="0" fillId="0" borderId="0" xfId="61" applyFont="1" applyFill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1" fontId="0" fillId="0" borderId="0" xfId="61" applyFont="1" applyBorder="1" applyAlignment="1">
      <alignment/>
    </xf>
    <xf numFmtId="0" fontId="0" fillId="0" borderId="0" xfId="0" applyFont="1" applyFill="1" applyAlignment="1">
      <alignment/>
    </xf>
    <xf numFmtId="172" fontId="4" fillId="0" borderId="11" xfId="47" applyFont="1" applyBorder="1" applyAlignment="1">
      <alignment wrapText="1"/>
    </xf>
    <xf numFmtId="171" fontId="10" fillId="0" borderId="0" xfId="61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1" fontId="38" fillId="0" borderId="0" xfId="61" applyFont="1" applyFill="1" applyBorder="1" applyAlignment="1">
      <alignment/>
    </xf>
    <xf numFmtId="171" fontId="19" fillId="0" borderId="10" xfId="61" applyFont="1" applyFill="1" applyBorder="1" applyAlignment="1">
      <alignment horizontal="center"/>
    </xf>
    <xf numFmtId="0" fontId="39" fillId="0" borderId="0" xfId="0" applyFont="1" applyAlignment="1">
      <alignment/>
    </xf>
    <xf numFmtId="10" fontId="37" fillId="0" borderId="0" xfId="50" applyNumberFormat="1" applyFont="1" applyFill="1" applyBorder="1" applyAlignment="1">
      <alignment/>
    </xf>
    <xf numFmtId="0" fontId="40" fillId="0" borderId="10" xfId="0" applyFont="1" applyBorder="1" applyAlignment="1">
      <alignment horizontal="justify" vertical="justify"/>
    </xf>
    <xf numFmtId="171" fontId="37" fillId="0" borderId="0" xfId="61" applyFont="1" applyFill="1" applyBorder="1" applyAlignment="1">
      <alignment/>
    </xf>
    <xf numFmtId="0" fontId="19" fillId="0" borderId="10" xfId="0" applyFont="1" applyBorder="1" applyAlignment="1">
      <alignment horizontal="center"/>
    </xf>
    <xf numFmtId="171" fontId="38" fillId="0" borderId="10" xfId="61" applyFont="1" applyFill="1" applyBorder="1" applyAlignment="1">
      <alignment/>
    </xf>
    <xf numFmtId="171" fontId="19" fillId="0" borderId="10" xfId="61" applyFont="1" applyFill="1" applyBorder="1" applyAlignment="1">
      <alignment/>
    </xf>
    <xf numFmtId="0" fontId="40" fillId="0" borderId="10" xfId="0" applyFont="1" applyFill="1" applyBorder="1" applyAlignment="1">
      <alignment horizontal="justify" vertical="justify"/>
    </xf>
    <xf numFmtId="9" fontId="37" fillId="0" borderId="0" xfId="50" applyFont="1" applyFill="1" applyBorder="1" applyAlignment="1">
      <alignment/>
    </xf>
    <xf numFmtId="171" fontId="38" fillId="0" borderId="28" xfId="61" applyFont="1" applyFill="1" applyBorder="1" applyAlignment="1">
      <alignment/>
    </xf>
    <xf numFmtId="0" fontId="40" fillId="0" borderId="10" xfId="0" applyFont="1" applyBorder="1" applyAlignment="1">
      <alignment horizontal="left" vertical="justify"/>
    </xf>
    <xf numFmtId="177" fontId="37" fillId="0" borderId="0" xfId="50" applyNumberFormat="1" applyFont="1" applyFill="1" applyBorder="1" applyAlignment="1">
      <alignment/>
    </xf>
    <xf numFmtId="10" fontId="37" fillId="0" borderId="0" xfId="50" applyNumberFormat="1" applyFont="1" applyAlignment="1">
      <alignment horizontal="center"/>
    </xf>
    <xf numFmtId="0" fontId="0" fillId="0" borderId="0" xfId="0" applyFont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71" fontId="0" fillId="0" borderId="0" xfId="61" applyFont="1" applyFill="1" applyAlignment="1">
      <alignment/>
    </xf>
    <xf numFmtId="171" fontId="0" fillId="0" borderId="0" xfId="61" applyFont="1" applyFill="1" applyBorder="1" applyAlignment="1">
      <alignment/>
    </xf>
    <xf numFmtId="0" fontId="41" fillId="0" borderId="10" xfId="0" applyFont="1" applyFill="1" applyBorder="1" applyAlignment="1">
      <alignment horizontal="justify" vertical="justify"/>
    </xf>
    <xf numFmtId="171" fontId="38" fillId="0" borderId="29" xfId="61" applyFont="1" applyFill="1" applyBorder="1" applyAlignment="1">
      <alignment/>
    </xf>
    <xf numFmtId="0" fontId="40" fillId="0" borderId="30" xfId="0" applyFont="1" applyFill="1" applyBorder="1" applyAlignment="1">
      <alignment horizontal="center"/>
    </xf>
    <xf numFmtId="171" fontId="19" fillId="0" borderId="31" xfId="61" applyFont="1" applyFill="1" applyBorder="1" applyAlignment="1">
      <alignment/>
    </xf>
    <xf numFmtId="0" fontId="19" fillId="0" borderId="30" xfId="0" applyFont="1" applyFill="1" applyBorder="1" applyAlignment="1">
      <alignment horizontal="center"/>
    </xf>
    <xf numFmtId="0" fontId="40" fillId="0" borderId="30" xfId="0" applyFont="1" applyBorder="1" applyAlignment="1">
      <alignment horizontal="center"/>
    </xf>
    <xf numFmtId="171" fontId="19" fillId="0" borderId="31" xfId="61" applyFont="1" applyBorder="1" applyAlignment="1">
      <alignment/>
    </xf>
    <xf numFmtId="0" fontId="40" fillId="34" borderId="30" xfId="0" applyFont="1" applyFill="1" applyBorder="1" applyAlignment="1">
      <alignment horizontal="center"/>
    </xf>
    <xf numFmtId="171" fontId="37" fillId="0" borderId="31" xfId="61" applyFont="1" applyBorder="1" applyAlignment="1">
      <alignment/>
    </xf>
    <xf numFmtId="171" fontId="38" fillId="0" borderId="32" xfId="61" applyFont="1" applyFill="1" applyBorder="1" applyAlignment="1">
      <alignment/>
    </xf>
    <xf numFmtId="0" fontId="38" fillId="35" borderId="30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right" vertical="justify"/>
    </xf>
    <xf numFmtId="0" fontId="19" fillId="35" borderId="10" xfId="0" applyFont="1" applyFill="1" applyBorder="1" applyAlignment="1">
      <alignment horizontal="center"/>
    </xf>
    <xf numFmtId="171" fontId="38" fillId="35" borderId="10" xfId="61" applyFont="1" applyFill="1" applyBorder="1" applyAlignment="1">
      <alignment horizontal="center"/>
    </xf>
    <xf numFmtId="171" fontId="19" fillId="35" borderId="10" xfId="61" applyFont="1" applyFill="1" applyBorder="1" applyAlignment="1">
      <alignment horizontal="center"/>
    </xf>
    <xf numFmtId="171" fontId="37" fillId="35" borderId="31" xfId="61" applyFont="1" applyFill="1" applyBorder="1" applyAlignment="1">
      <alignment/>
    </xf>
    <xf numFmtId="0" fontId="42" fillId="0" borderId="33" xfId="0" applyFont="1" applyFill="1" applyBorder="1" applyAlignment="1">
      <alignment/>
    </xf>
    <xf numFmtId="0" fontId="40" fillId="0" borderId="29" xfId="0" applyFont="1" applyFill="1" applyBorder="1" applyAlignment="1">
      <alignment horizontal="left"/>
    </xf>
    <xf numFmtId="0" fontId="19" fillId="0" borderId="29" xfId="0" applyFont="1" applyFill="1" applyBorder="1" applyAlignment="1">
      <alignment horizontal="center"/>
    </xf>
    <xf numFmtId="171" fontId="43" fillId="0" borderId="29" xfId="61" applyFont="1" applyFill="1" applyBorder="1" applyAlignment="1">
      <alignment horizontal="left"/>
    </xf>
    <xf numFmtId="171" fontId="43" fillId="0" borderId="34" xfId="61" applyFont="1" applyFill="1" applyBorder="1" applyAlignment="1">
      <alignment horizontal="left"/>
    </xf>
    <xf numFmtId="0" fontId="42" fillId="0" borderId="35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71" fontId="43" fillId="0" borderId="0" xfId="61" applyFont="1" applyFill="1" applyBorder="1" applyAlignment="1">
      <alignment horizontal="right"/>
    </xf>
    <xf numFmtId="171" fontId="43" fillId="0" borderId="36" xfId="61" applyFont="1" applyFill="1" applyBorder="1" applyAlignment="1">
      <alignment horizontal="right"/>
    </xf>
    <xf numFmtId="0" fontId="40" fillId="0" borderId="37" xfId="0" applyFont="1" applyFill="1" applyBorder="1" applyAlignment="1">
      <alignment horizontal="left"/>
    </xf>
    <xf numFmtId="0" fontId="43" fillId="0" borderId="32" xfId="0" applyFont="1" applyFill="1" applyBorder="1" applyAlignment="1">
      <alignment horizontal="left"/>
    </xf>
    <xf numFmtId="0" fontId="19" fillId="0" borderId="32" xfId="0" applyFont="1" applyFill="1" applyBorder="1" applyAlignment="1">
      <alignment horizontal="left"/>
    </xf>
    <xf numFmtId="171" fontId="43" fillId="0" borderId="32" xfId="61" applyFont="1" applyFill="1" applyBorder="1" applyAlignment="1">
      <alignment horizontal="right"/>
    </xf>
    <xf numFmtId="171" fontId="43" fillId="0" borderId="38" xfId="61" applyFont="1" applyFill="1" applyBorder="1" applyAlignment="1">
      <alignment horizontal="right"/>
    </xf>
    <xf numFmtId="0" fontId="45" fillId="0" borderId="33" xfId="0" applyFont="1" applyFill="1" applyBorder="1" applyAlignment="1">
      <alignment horizontal="left"/>
    </xf>
    <xf numFmtId="0" fontId="38" fillId="0" borderId="29" xfId="0" applyFont="1" applyFill="1" applyBorder="1" applyAlignment="1">
      <alignment/>
    </xf>
    <xf numFmtId="171" fontId="38" fillId="0" borderId="34" xfId="61" applyFont="1" applyFill="1" applyBorder="1" applyAlignment="1">
      <alignment/>
    </xf>
    <xf numFmtId="0" fontId="40" fillId="0" borderId="35" xfId="0" applyFont="1" applyFill="1" applyBorder="1" applyAlignment="1">
      <alignment horizontal="left"/>
    </xf>
    <xf numFmtId="0" fontId="38" fillId="0" borderId="0" xfId="0" applyFont="1" applyFill="1" applyBorder="1" applyAlignment="1">
      <alignment/>
    </xf>
    <xf numFmtId="171" fontId="38" fillId="0" borderId="36" xfId="61" applyFont="1" applyFill="1" applyBorder="1" applyAlignment="1">
      <alignment/>
    </xf>
    <xf numFmtId="0" fontId="38" fillId="0" borderId="37" xfId="0" applyFont="1" applyFill="1" applyBorder="1" applyAlignment="1">
      <alignment horizontal="center"/>
    </xf>
    <xf numFmtId="0" fontId="38" fillId="0" borderId="32" xfId="0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175" fontId="68" fillId="0" borderId="38" xfId="61" applyNumberFormat="1" applyFont="1" applyFill="1" applyBorder="1" applyAlignment="1">
      <alignment/>
    </xf>
    <xf numFmtId="171" fontId="38" fillId="35" borderId="10" xfId="61" applyFont="1" applyFill="1" applyBorder="1" applyAlignment="1">
      <alignment/>
    </xf>
    <xf numFmtId="0" fontId="40" fillId="35" borderId="30" xfId="0" applyFont="1" applyFill="1" applyBorder="1" applyAlignment="1">
      <alignment horizontal="center"/>
    </xf>
    <xf numFmtId="171" fontId="19" fillId="0" borderId="0" xfId="61" applyFont="1" applyFill="1" applyBorder="1" applyAlignment="1">
      <alignment/>
    </xf>
    <xf numFmtId="0" fontId="37" fillId="0" borderId="0" xfId="0" applyFont="1" applyFill="1" applyAlignment="1">
      <alignment horizontal="left" vertical="center"/>
    </xf>
    <xf numFmtId="0" fontId="19" fillId="0" borderId="10" xfId="0" applyFont="1" applyFill="1" applyBorder="1" applyAlignment="1">
      <alignment horizontal="justify" vertical="justify"/>
    </xf>
    <xf numFmtId="0" fontId="3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9" fillId="0" borderId="0" xfId="0" applyFont="1" applyFill="1" applyAlignment="1">
      <alignment vertical="center"/>
    </xf>
    <xf numFmtId="171" fontId="37" fillId="0" borderId="0" xfId="61" applyNumberFormat="1" applyFont="1" applyBorder="1" applyAlignment="1">
      <alignment horizontal="left" vertical="center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171" fontId="37" fillId="0" borderId="0" xfId="0" applyNumberFormat="1" applyFont="1" applyFill="1" applyBorder="1" applyAlignment="1">
      <alignment horizontal="left" vertical="center"/>
    </xf>
    <xf numFmtId="171" fontId="37" fillId="0" borderId="0" xfId="0" applyNumberFormat="1" applyFont="1" applyBorder="1" applyAlignment="1">
      <alignment horizontal="left" vertical="center"/>
    </xf>
    <xf numFmtId="0" fontId="19" fillId="0" borderId="10" xfId="0" applyFont="1" applyFill="1" applyBorder="1" applyAlignment="1">
      <alignment horizontal="justify"/>
    </xf>
    <xf numFmtId="0" fontId="19" fillId="0" borderId="10" xfId="0" applyFont="1" applyFill="1" applyBorder="1" applyAlignment="1">
      <alignment horizontal="justify" vertical="justify" wrapText="1"/>
    </xf>
    <xf numFmtId="171" fontId="19" fillId="0" borderId="10" xfId="61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wrapText="1"/>
    </xf>
    <xf numFmtId="171" fontId="19" fillId="0" borderId="10" xfId="61" applyFont="1" applyFill="1" applyBorder="1" applyAlignment="1">
      <alignment wrapText="1"/>
    </xf>
    <xf numFmtId="171" fontId="19" fillId="0" borderId="10" xfId="61" applyFont="1" applyFill="1" applyBorder="1" applyAlignment="1">
      <alignment horizontal="center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/>
    </xf>
    <xf numFmtId="0" fontId="38" fillId="36" borderId="30" xfId="0" applyFont="1" applyFill="1" applyBorder="1" applyAlignment="1">
      <alignment horizontal="center"/>
    </xf>
    <xf numFmtId="0" fontId="37" fillId="36" borderId="10" xfId="0" applyFont="1" applyFill="1" applyBorder="1" applyAlignment="1">
      <alignment horizontal="right" vertical="justify"/>
    </xf>
    <xf numFmtId="0" fontId="19" fillId="36" borderId="10" xfId="0" applyFont="1" applyFill="1" applyBorder="1" applyAlignment="1">
      <alignment horizontal="center"/>
    </xf>
    <xf numFmtId="171" fontId="38" fillId="36" borderId="10" xfId="61" applyFont="1" applyFill="1" applyBorder="1" applyAlignment="1">
      <alignment/>
    </xf>
    <xf numFmtId="171" fontId="19" fillId="36" borderId="10" xfId="61" applyFont="1" applyFill="1" applyBorder="1" applyAlignment="1">
      <alignment horizontal="center"/>
    </xf>
    <xf numFmtId="171" fontId="37" fillId="36" borderId="31" xfId="61" applyFont="1" applyFill="1" applyBorder="1" applyAlignment="1">
      <alignment/>
    </xf>
    <xf numFmtId="0" fontId="19" fillId="0" borderId="3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71" fontId="19" fillId="0" borderId="10" xfId="61" applyFont="1" applyFill="1" applyBorder="1" applyAlignment="1">
      <alignment horizontal="center" vertical="center"/>
    </xf>
    <xf numFmtId="171" fontId="37" fillId="0" borderId="25" xfId="61" applyFont="1" applyFill="1" applyBorder="1" applyAlignment="1">
      <alignment horizontal="center" wrapText="1"/>
    </xf>
    <xf numFmtId="171" fontId="37" fillId="0" borderId="28" xfId="61" applyFont="1" applyFill="1" applyBorder="1" applyAlignment="1">
      <alignment horizontal="center" wrapText="1"/>
    </xf>
    <xf numFmtId="171" fontId="37" fillId="0" borderId="39" xfId="61" applyFont="1" applyFill="1" applyBorder="1" applyAlignment="1">
      <alignment horizontal="center" wrapText="1"/>
    </xf>
    <xf numFmtId="171" fontId="37" fillId="0" borderId="40" xfId="61" applyFont="1" applyFill="1" applyBorder="1" applyAlignment="1">
      <alignment horizontal="center"/>
    </xf>
    <xf numFmtId="171" fontId="37" fillId="0" borderId="28" xfId="61" applyFont="1" applyFill="1" applyBorder="1" applyAlignment="1">
      <alignment horizontal="center"/>
    </xf>
    <xf numFmtId="171" fontId="37" fillId="0" borderId="31" xfId="61" applyFont="1" applyFill="1" applyBorder="1" applyAlignment="1">
      <alignment horizontal="center"/>
    </xf>
    <xf numFmtId="0" fontId="49" fillId="0" borderId="10" xfId="0" applyFont="1" applyFill="1" applyBorder="1" applyAlignment="1">
      <alignment horizontal="justify" vertical="justify"/>
    </xf>
    <xf numFmtId="0" fontId="19" fillId="0" borderId="10" xfId="0" applyFont="1" applyFill="1" applyBorder="1" applyAlignment="1">
      <alignment horizontal="justify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171" fontId="19" fillId="0" borderId="10" xfId="61" applyFont="1" applyFill="1" applyBorder="1" applyAlignment="1">
      <alignment vertical="center" shrinkToFit="1"/>
    </xf>
    <xf numFmtId="171" fontId="19" fillId="0" borderId="31" xfId="61" applyFont="1" applyFill="1" applyBorder="1" applyAlignment="1">
      <alignment vertical="center"/>
    </xf>
    <xf numFmtId="0" fontId="49" fillId="0" borderId="10" xfId="0" applyFont="1" applyFill="1" applyBorder="1" applyAlignment="1">
      <alignment horizontal="justify" vertical="center"/>
    </xf>
    <xf numFmtId="171" fontId="19" fillId="0" borderId="10" xfId="61" applyFont="1" applyFill="1" applyBorder="1" applyAlignment="1">
      <alignment vertical="center"/>
    </xf>
    <xf numFmtId="0" fontId="19" fillId="0" borderId="3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justify" vertical="center"/>
    </xf>
    <xf numFmtId="0" fontId="38" fillId="37" borderId="41" xfId="0" applyFont="1" applyFill="1" applyBorder="1" applyAlignment="1">
      <alignment horizontal="center"/>
    </xf>
    <xf numFmtId="0" fontId="40" fillId="37" borderId="42" xfId="0" applyFont="1" applyFill="1" applyBorder="1" applyAlignment="1">
      <alignment horizontal="right" vertical="justify"/>
    </xf>
    <xf numFmtId="171" fontId="19" fillId="37" borderId="42" xfId="61" applyFont="1" applyFill="1" applyBorder="1" applyAlignment="1">
      <alignment/>
    </xf>
    <xf numFmtId="171" fontId="37" fillId="37" borderId="43" xfId="61" applyFont="1" applyFill="1" applyBorder="1" applyAlignment="1">
      <alignment/>
    </xf>
    <xf numFmtId="0" fontId="10" fillId="0" borderId="10" xfId="0" applyFont="1" applyBorder="1" applyAlignment="1">
      <alignment/>
    </xf>
    <xf numFmtId="0" fontId="19" fillId="0" borderId="44" xfId="0" applyFont="1" applyFill="1" applyBorder="1" applyAlignment="1">
      <alignment horizontal="center" vertical="top"/>
    </xf>
    <xf numFmtId="0" fontId="19" fillId="0" borderId="45" xfId="0" applyFont="1" applyFill="1" applyBorder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9" fillId="0" borderId="45" xfId="0" applyFont="1" applyFill="1" applyBorder="1" applyAlignment="1">
      <alignment horizontal="center" wrapText="1"/>
    </xf>
    <xf numFmtId="171" fontId="37" fillId="0" borderId="0" xfId="61" applyFont="1" applyFill="1" applyBorder="1" applyAlignment="1">
      <alignment wrapText="1"/>
    </xf>
    <xf numFmtId="171" fontId="10" fillId="0" borderId="0" xfId="61" applyNumberFormat="1" applyFont="1" applyBorder="1" applyAlignment="1">
      <alignment wrapText="1"/>
    </xf>
    <xf numFmtId="0" fontId="70" fillId="0" borderId="10" xfId="0" applyFont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171" fontId="19" fillId="0" borderId="10" xfId="61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70" fillId="0" borderId="10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9" fillId="0" borderId="45" xfId="0" applyFont="1" applyFill="1" applyBorder="1" applyAlignment="1">
      <alignment horizontal="center" vertical="center"/>
    </xf>
    <xf numFmtId="3" fontId="19" fillId="0" borderId="3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71" fontId="10" fillId="0" borderId="0" xfId="61" applyFont="1" applyBorder="1" applyAlignment="1">
      <alignment horizontal="center" vertical="justify"/>
    </xf>
    <xf numFmtId="0" fontId="40" fillId="35" borderId="35" xfId="0" applyFont="1" applyFill="1" applyBorder="1" applyAlignment="1">
      <alignment horizontal="center"/>
    </xf>
    <xf numFmtId="0" fontId="40" fillId="35" borderId="0" xfId="0" applyFont="1" applyFill="1" applyBorder="1" applyAlignment="1">
      <alignment horizontal="center"/>
    </xf>
    <xf numFmtId="0" fontId="40" fillId="35" borderId="36" xfId="0" applyFont="1" applyFill="1" applyBorder="1" applyAlignment="1">
      <alignment horizontal="center"/>
    </xf>
    <xf numFmtId="0" fontId="37" fillId="0" borderId="46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171" fontId="37" fillId="0" borderId="28" xfId="61" applyFont="1" applyFill="1" applyBorder="1" applyAlignment="1">
      <alignment horizontal="center" vertical="center"/>
    </xf>
    <xf numFmtId="171" fontId="37" fillId="0" borderId="10" xfId="6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_Orça.timbó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1"/>
  <sheetViews>
    <sheetView showGridLines="0" view="pageBreakPreview" zoomScaleNormal="115" zoomScaleSheetLayoutView="100" workbookViewId="0" topLeftCell="A1">
      <selection activeCell="A445" sqref="A445:G448"/>
    </sheetView>
  </sheetViews>
  <sheetFormatPr defaultColWidth="11.421875" defaultRowHeight="12.75"/>
  <cols>
    <col min="1" max="1" width="6.57421875" style="79" customWidth="1"/>
    <col min="2" max="2" width="59.8515625" style="78" customWidth="1"/>
    <col min="3" max="3" width="4.421875" style="151" bestFit="1" customWidth="1"/>
    <col min="4" max="4" width="7.8515625" style="114" bestFit="1" customWidth="1"/>
    <col min="5" max="5" width="9.7109375" style="114" customWidth="1"/>
    <col min="6" max="6" width="13.00390625" style="80" customWidth="1"/>
    <col min="7" max="7" width="11.57421875" style="80" customWidth="1"/>
    <col min="8" max="8" width="6.8515625" style="131" bestFit="1" customWidth="1"/>
    <col min="9" max="9" width="14.00390625" style="202" bestFit="1" customWidth="1"/>
    <col min="10" max="11" width="11.421875" style="78" customWidth="1"/>
    <col min="12" max="12" width="11.28125" style="80" bestFit="1" customWidth="1"/>
    <col min="13" max="16384" width="11.421875" style="78" customWidth="1"/>
  </cols>
  <sheetData>
    <row r="1" spans="1:10" ht="15.75">
      <c r="A1" s="187" t="s">
        <v>36</v>
      </c>
      <c r="B1" s="188"/>
      <c r="C1" s="174"/>
      <c r="D1" s="157"/>
      <c r="E1" s="157"/>
      <c r="F1" s="157"/>
      <c r="G1" s="189"/>
      <c r="H1" s="133" t="s">
        <v>219</v>
      </c>
      <c r="I1" s="202">
        <v>1.25</v>
      </c>
      <c r="J1" s="78">
        <v>1.25</v>
      </c>
    </row>
    <row r="2" spans="1:10" ht="12.75">
      <c r="A2" s="190" t="s">
        <v>81</v>
      </c>
      <c r="B2" s="191"/>
      <c r="C2" s="179"/>
      <c r="D2" s="134"/>
      <c r="E2" s="134"/>
      <c r="F2" s="134"/>
      <c r="G2" s="192"/>
      <c r="H2" s="133"/>
      <c r="J2" s="122"/>
    </row>
    <row r="3" spans="1:13" ht="13.5" thickBot="1">
      <c r="A3" s="193"/>
      <c r="B3" s="194"/>
      <c r="C3" s="195"/>
      <c r="D3" s="165"/>
      <c r="E3" s="165"/>
      <c r="F3" s="165"/>
      <c r="G3" s="196">
        <v>0.9443</v>
      </c>
      <c r="H3" s="133"/>
      <c r="K3" s="82"/>
      <c r="L3" s="83"/>
      <c r="M3" s="82"/>
    </row>
    <row r="4" spans="1:13" ht="13.5" thickBot="1">
      <c r="A4" s="271" t="s">
        <v>223</v>
      </c>
      <c r="B4" s="272"/>
      <c r="C4" s="272"/>
      <c r="D4" s="272"/>
      <c r="E4" s="272"/>
      <c r="F4" s="272"/>
      <c r="G4" s="273"/>
      <c r="H4" s="133"/>
      <c r="J4" s="83"/>
      <c r="K4" s="82"/>
      <c r="L4" s="82"/>
      <c r="M4" s="82"/>
    </row>
    <row r="5" spans="1:13" ht="12.75">
      <c r="A5" s="172" t="s">
        <v>22</v>
      </c>
      <c r="B5" s="173" t="s">
        <v>150</v>
      </c>
      <c r="C5" s="174"/>
      <c r="D5" s="175"/>
      <c r="E5" s="175"/>
      <c r="F5" s="175"/>
      <c r="G5" s="176"/>
      <c r="H5" s="133"/>
      <c r="J5" s="115"/>
      <c r="K5" s="92"/>
      <c r="L5" s="84"/>
      <c r="M5" s="82"/>
    </row>
    <row r="6" spans="1:13" ht="12.75">
      <c r="A6" s="177" t="s">
        <v>23</v>
      </c>
      <c r="B6" s="178" t="s">
        <v>159</v>
      </c>
      <c r="C6" s="179"/>
      <c r="D6" s="180"/>
      <c r="E6" s="180"/>
      <c r="F6" s="180"/>
      <c r="G6" s="181"/>
      <c r="H6" s="133"/>
      <c r="J6" s="121"/>
      <c r="K6" s="92"/>
      <c r="L6" s="85"/>
      <c r="M6" s="82"/>
    </row>
    <row r="7" spans="1:12" ht="13.5" thickBot="1">
      <c r="A7" s="182" t="s">
        <v>715</v>
      </c>
      <c r="B7" s="183"/>
      <c r="C7" s="184"/>
      <c r="D7" s="185"/>
      <c r="E7" s="185"/>
      <c r="F7" s="185"/>
      <c r="G7" s="186"/>
      <c r="H7" s="133"/>
      <c r="J7" s="121"/>
      <c r="K7" s="92"/>
      <c r="L7" s="85"/>
    </row>
    <row r="8" spans="1:12" ht="21.75" customHeight="1">
      <c r="A8" s="274" t="s">
        <v>0</v>
      </c>
      <c r="B8" s="276" t="s">
        <v>19</v>
      </c>
      <c r="C8" s="276" t="s">
        <v>20</v>
      </c>
      <c r="D8" s="278" t="s">
        <v>21</v>
      </c>
      <c r="E8" s="229" t="s">
        <v>215</v>
      </c>
      <c r="F8" s="230" t="s">
        <v>222</v>
      </c>
      <c r="G8" s="231" t="s">
        <v>80</v>
      </c>
      <c r="H8" s="133"/>
      <c r="J8" s="121"/>
      <c r="K8" s="92"/>
      <c r="L8" s="270"/>
    </row>
    <row r="9" spans="1:12" ht="12.75">
      <c r="A9" s="275"/>
      <c r="B9" s="277"/>
      <c r="C9" s="277"/>
      <c r="D9" s="279"/>
      <c r="E9" s="232" t="s">
        <v>44</v>
      </c>
      <c r="F9" s="233" t="s">
        <v>44</v>
      </c>
      <c r="G9" s="234" t="s">
        <v>44</v>
      </c>
      <c r="H9" s="133"/>
      <c r="J9" s="92"/>
      <c r="K9" s="92"/>
      <c r="L9" s="270"/>
    </row>
    <row r="10" spans="1:12" s="86" customFormat="1" ht="15.75">
      <c r="A10" s="158">
        <v>1</v>
      </c>
      <c r="B10" s="143" t="s">
        <v>34</v>
      </c>
      <c r="C10" s="150"/>
      <c r="D10" s="141"/>
      <c r="E10" s="141"/>
      <c r="F10" s="145"/>
      <c r="G10" s="159"/>
      <c r="H10" s="136"/>
      <c r="I10" s="203"/>
      <c r="J10" s="87"/>
      <c r="K10" s="87"/>
      <c r="L10" s="88"/>
    </row>
    <row r="11" spans="1:13" ht="12.75">
      <c r="A11" s="160" t="s">
        <v>59</v>
      </c>
      <c r="B11" s="201" t="s">
        <v>86</v>
      </c>
      <c r="C11" s="150" t="s">
        <v>53</v>
      </c>
      <c r="D11" s="135">
        <v>1</v>
      </c>
      <c r="E11" s="135">
        <v>250</v>
      </c>
      <c r="F11" s="135">
        <f>ROUND(E11*$J$1,2)</f>
        <v>312.5</v>
      </c>
      <c r="G11" s="159">
        <f>ROUND(F11*D11,2)</f>
        <v>312.5</v>
      </c>
      <c r="H11" s="148"/>
      <c r="I11" s="202" t="s">
        <v>53</v>
      </c>
      <c r="J11" s="89"/>
      <c r="K11" s="82"/>
      <c r="L11" s="83"/>
      <c r="M11" s="123"/>
    </row>
    <row r="12" spans="1:12" ht="12.75" customHeight="1">
      <c r="A12" s="160" t="s">
        <v>1</v>
      </c>
      <c r="B12" s="201" t="s">
        <v>204</v>
      </c>
      <c r="C12" s="150" t="s">
        <v>4</v>
      </c>
      <c r="D12" s="135">
        <v>130</v>
      </c>
      <c r="E12" s="135">
        <v>40.45</v>
      </c>
      <c r="F12" s="135">
        <f>ROUND(E12*$J$1,2)</f>
        <v>50.56</v>
      </c>
      <c r="G12" s="159">
        <f>ROUND(F12*D12,2)</f>
        <v>6572.8</v>
      </c>
      <c r="H12" s="148"/>
      <c r="I12" s="204" t="s">
        <v>203</v>
      </c>
      <c r="J12" s="89"/>
      <c r="K12" s="82"/>
      <c r="L12" s="126" t="s">
        <v>691</v>
      </c>
    </row>
    <row r="13" spans="1:12" ht="12.75">
      <c r="A13" s="160" t="s">
        <v>2</v>
      </c>
      <c r="B13" s="211" t="s">
        <v>52</v>
      </c>
      <c r="C13" s="150" t="s">
        <v>4</v>
      </c>
      <c r="D13" s="135">
        <v>18</v>
      </c>
      <c r="E13" s="135">
        <v>330.84</v>
      </c>
      <c r="F13" s="135">
        <f>ROUND(E13*$J$1,2)</f>
        <v>413.55</v>
      </c>
      <c r="G13" s="159">
        <f>ROUND(F13*D13,2)</f>
        <v>7443.9</v>
      </c>
      <c r="H13" s="148"/>
      <c r="I13" s="204" t="s">
        <v>326</v>
      </c>
      <c r="J13" s="89"/>
      <c r="K13" s="82"/>
      <c r="L13" s="83"/>
    </row>
    <row r="14" spans="1:12" ht="12.75">
      <c r="A14" s="160" t="s">
        <v>3</v>
      </c>
      <c r="B14" s="201" t="s">
        <v>24</v>
      </c>
      <c r="C14" s="150" t="s">
        <v>4</v>
      </c>
      <c r="D14" s="135">
        <v>4.5</v>
      </c>
      <c r="E14" s="135">
        <v>206.38</v>
      </c>
      <c r="F14" s="135">
        <f>ROUND(E14*$J$1,2)</f>
        <v>257.98</v>
      </c>
      <c r="G14" s="159">
        <f>ROUND(F14*D14,2)</f>
        <v>1160.91</v>
      </c>
      <c r="H14" s="148"/>
      <c r="I14" s="205" t="s">
        <v>327</v>
      </c>
      <c r="J14" s="89"/>
      <c r="K14" s="121"/>
      <c r="L14" s="83"/>
    </row>
    <row r="15" spans="1:12" s="91" customFormat="1" ht="12.75">
      <c r="A15" s="160" t="s">
        <v>5</v>
      </c>
      <c r="B15" s="201" t="s">
        <v>64</v>
      </c>
      <c r="C15" s="150" t="s">
        <v>4</v>
      </c>
      <c r="D15" s="135">
        <v>406.75</v>
      </c>
      <c r="E15" s="135">
        <v>4.89</v>
      </c>
      <c r="F15" s="135">
        <f>ROUND(E15*$J$1,2)</f>
        <v>6.11</v>
      </c>
      <c r="G15" s="159">
        <f>ROUND(F15*D15,2)</f>
        <v>2485.24</v>
      </c>
      <c r="H15" s="148"/>
      <c r="I15" s="205" t="s">
        <v>96</v>
      </c>
      <c r="J15" s="89"/>
      <c r="K15" s="121"/>
      <c r="L15" s="90"/>
    </row>
    <row r="16" spans="1:13" s="91" customFormat="1" ht="12.75">
      <c r="A16" s="166"/>
      <c r="B16" s="167" t="s">
        <v>68</v>
      </c>
      <c r="C16" s="168"/>
      <c r="D16" s="169"/>
      <c r="E16" s="170"/>
      <c r="F16" s="170"/>
      <c r="G16" s="171">
        <f>SUM(G11:G15)</f>
        <v>17975.35</v>
      </c>
      <c r="H16" s="137">
        <f>G16/G441</f>
        <v>0.014252736480050026</v>
      </c>
      <c r="I16" s="200"/>
      <c r="J16" s="89"/>
      <c r="K16" s="121"/>
      <c r="L16" s="90"/>
      <c r="M16" s="127"/>
    </row>
    <row r="17" spans="1:13" s="91" customFormat="1" ht="12.75">
      <c r="A17" s="161">
        <v>2</v>
      </c>
      <c r="B17" s="138" t="s">
        <v>280</v>
      </c>
      <c r="C17" s="150"/>
      <c r="D17" s="135"/>
      <c r="E17" s="135"/>
      <c r="F17" s="135"/>
      <c r="G17" s="159"/>
      <c r="H17" s="137"/>
      <c r="I17" s="200"/>
      <c r="J17" s="89"/>
      <c r="K17" s="121"/>
      <c r="L17" s="90"/>
      <c r="M17" s="127"/>
    </row>
    <row r="18" spans="1:13" s="91" customFormat="1" ht="12.75">
      <c r="A18" s="160" t="s">
        <v>25</v>
      </c>
      <c r="B18" s="201" t="s">
        <v>700</v>
      </c>
      <c r="C18" s="150" t="s">
        <v>4</v>
      </c>
      <c r="D18" s="135">
        <v>50</v>
      </c>
      <c r="E18" s="135">
        <v>36.58</v>
      </c>
      <c r="F18" s="135">
        <f>ROUND(E18*$J$1,2)</f>
        <v>45.73</v>
      </c>
      <c r="G18" s="159">
        <f>ROUND(+F18*D18,2)</f>
        <v>2286.5</v>
      </c>
      <c r="H18" s="137"/>
      <c r="I18" s="200" t="s">
        <v>200</v>
      </c>
      <c r="J18" s="89"/>
      <c r="K18" s="121"/>
      <c r="L18" s="90"/>
      <c r="M18" s="127"/>
    </row>
    <row r="19" spans="1:13" s="91" customFormat="1" ht="12.75">
      <c r="A19" s="160" t="s">
        <v>84</v>
      </c>
      <c r="B19" s="201" t="s">
        <v>218</v>
      </c>
      <c r="C19" s="150" t="s">
        <v>4</v>
      </c>
      <c r="D19" s="135">
        <v>40</v>
      </c>
      <c r="E19" s="135">
        <v>3.74</v>
      </c>
      <c r="F19" s="135">
        <f>ROUND(E19*$J$1,2)</f>
        <v>4.68</v>
      </c>
      <c r="G19" s="159">
        <f>ROUND(+F19*D19,2)</f>
        <v>187.2</v>
      </c>
      <c r="H19" s="137"/>
      <c r="I19" s="200"/>
      <c r="J19" s="89"/>
      <c r="K19" s="121"/>
      <c r="L19" s="90"/>
      <c r="M19" s="127"/>
    </row>
    <row r="20" spans="1:13" s="91" customFormat="1" ht="12.75">
      <c r="A20" s="160" t="s">
        <v>160</v>
      </c>
      <c r="B20" s="201" t="s">
        <v>699</v>
      </c>
      <c r="C20" s="150" t="s">
        <v>6</v>
      </c>
      <c r="D20" s="135">
        <v>837.18</v>
      </c>
      <c r="E20" s="135">
        <v>10.57</v>
      </c>
      <c r="F20" s="135">
        <f>ROUND(E20*$J$1,2)</f>
        <v>13.21</v>
      </c>
      <c r="G20" s="159">
        <f>ROUND(+F20*D20,2)</f>
        <v>11059.15</v>
      </c>
      <c r="H20" s="137"/>
      <c r="I20" s="200" t="s">
        <v>698</v>
      </c>
      <c r="J20" s="89"/>
      <c r="K20" s="121"/>
      <c r="L20" s="90"/>
      <c r="M20" s="127"/>
    </row>
    <row r="21" spans="1:13" s="91" customFormat="1" ht="12.75">
      <c r="A21" s="160" t="s">
        <v>201</v>
      </c>
      <c r="B21" s="201" t="s">
        <v>701</v>
      </c>
      <c r="C21" s="150" t="s">
        <v>702</v>
      </c>
      <c r="D21" s="135">
        <v>7</v>
      </c>
      <c r="E21" s="135">
        <v>34.42</v>
      </c>
      <c r="F21" s="135">
        <f>ROUND(E21*$J$1,2)</f>
        <v>43.03</v>
      </c>
      <c r="G21" s="159">
        <f>ROUND(+F21*D21,2)</f>
        <v>301.21</v>
      </c>
      <c r="H21" s="137"/>
      <c r="I21" s="200"/>
      <c r="J21" s="89"/>
      <c r="K21" s="121"/>
      <c r="L21" s="90"/>
      <c r="M21" s="127"/>
    </row>
    <row r="22" spans="1:13" s="91" customFormat="1" ht="12.75">
      <c r="A22" s="166"/>
      <c r="B22" s="167" t="s">
        <v>68</v>
      </c>
      <c r="C22" s="168"/>
      <c r="D22" s="169"/>
      <c r="E22" s="170"/>
      <c r="F22" s="170"/>
      <c r="G22" s="171">
        <f>SUM(G18:G21)</f>
        <v>13834.059999999998</v>
      </c>
      <c r="H22" s="137">
        <f>G22/G441</f>
        <v>0.01096908887054777</v>
      </c>
      <c r="I22" s="200"/>
      <c r="J22" s="89"/>
      <c r="K22" s="121"/>
      <c r="L22" s="90"/>
      <c r="M22" s="127"/>
    </row>
    <row r="23" spans="1:12" s="91" customFormat="1" ht="12.75">
      <c r="A23" s="161">
        <v>3</v>
      </c>
      <c r="B23" s="138" t="s">
        <v>706</v>
      </c>
      <c r="C23" s="150"/>
      <c r="D23" s="135"/>
      <c r="E23" s="135"/>
      <c r="F23" s="135"/>
      <c r="G23" s="159"/>
      <c r="H23" s="137"/>
      <c r="I23" s="200"/>
      <c r="J23" s="89"/>
      <c r="K23" s="121"/>
      <c r="L23" s="90"/>
    </row>
    <row r="24" spans="1:12" s="91" customFormat="1" ht="12.75">
      <c r="A24" s="160" t="s">
        <v>74</v>
      </c>
      <c r="B24" s="201" t="s">
        <v>718</v>
      </c>
      <c r="C24" s="150" t="s">
        <v>4</v>
      </c>
      <c r="D24" s="135">
        <v>48.83</v>
      </c>
      <c r="E24" s="135">
        <v>12.89</v>
      </c>
      <c r="F24" s="135">
        <f aca="true" t="shared" si="0" ref="F24:F29">ROUND(E24*$J$1,2)</f>
        <v>16.11</v>
      </c>
      <c r="G24" s="159">
        <f aca="true" t="shared" si="1" ref="G24:G29">ROUND(+F24*D24,2)</f>
        <v>786.65</v>
      </c>
      <c r="H24" s="137"/>
      <c r="I24" s="200" t="s">
        <v>193</v>
      </c>
      <c r="J24" s="89"/>
      <c r="K24" s="121"/>
      <c r="L24" s="90"/>
    </row>
    <row r="25" spans="1:12" s="91" customFormat="1" ht="12.75">
      <c r="A25" s="160" t="s">
        <v>288</v>
      </c>
      <c r="B25" s="201" t="s">
        <v>716</v>
      </c>
      <c r="C25" s="150" t="s">
        <v>4</v>
      </c>
      <c r="D25" s="135">
        <v>3.19</v>
      </c>
      <c r="E25" s="135">
        <v>8.54</v>
      </c>
      <c r="F25" s="135">
        <f t="shared" si="0"/>
        <v>10.68</v>
      </c>
      <c r="G25" s="159">
        <f t="shared" si="1"/>
        <v>34.07</v>
      </c>
      <c r="H25" s="137"/>
      <c r="I25" s="200" t="s">
        <v>196</v>
      </c>
      <c r="J25" s="89"/>
      <c r="K25" s="121"/>
      <c r="L25" s="90"/>
    </row>
    <row r="26" spans="1:12" s="91" customFormat="1" ht="12.75">
      <c r="A26" s="160" t="s">
        <v>78</v>
      </c>
      <c r="B26" s="201" t="s">
        <v>717</v>
      </c>
      <c r="C26" s="150" t="s">
        <v>4</v>
      </c>
      <c r="D26" s="135">
        <v>23.45</v>
      </c>
      <c r="E26" s="135">
        <v>19.8</v>
      </c>
      <c r="F26" s="135">
        <f t="shared" si="0"/>
        <v>24.75</v>
      </c>
      <c r="G26" s="159">
        <f t="shared" si="1"/>
        <v>580.39</v>
      </c>
      <c r="H26" s="137"/>
      <c r="I26" s="200" t="s">
        <v>202</v>
      </c>
      <c r="J26" s="89"/>
      <c r="K26" s="121"/>
      <c r="L26" s="90"/>
    </row>
    <row r="27" spans="1:12" s="91" customFormat="1" ht="12.75">
      <c r="A27" s="160" t="s">
        <v>289</v>
      </c>
      <c r="B27" s="201" t="s">
        <v>198</v>
      </c>
      <c r="C27" s="150" t="s">
        <v>4</v>
      </c>
      <c r="D27" s="135">
        <v>5.44</v>
      </c>
      <c r="E27" s="135">
        <v>6.1</v>
      </c>
      <c r="F27" s="135">
        <f t="shared" si="0"/>
        <v>7.63</v>
      </c>
      <c r="G27" s="159">
        <f t="shared" si="1"/>
        <v>41.51</v>
      </c>
      <c r="H27" s="137"/>
      <c r="I27" s="200" t="s">
        <v>197</v>
      </c>
      <c r="J27" s="89"/>
      <c r="K27" s="121"/>
      <c r="L27" s="90"/>
    </row>
    <row r="28" spans="1:12" s="91" customFormat="1" ht="12.75">
      <c r="A28" s="160" t="s">
        <v>290</v>
      </c>
      <c r="B28" s="201" t="s">
        <v>199</v>
      </c>
      <c r="C28" s="150" t="s">
        <v>4</v>
      </c>
      <c r="D28" s="135">
        <v>13.02</v>
      </c>
      <c r="E28" s="135">
        <v>36.58</v>
      </c>
      <c r="F28" s="135">
        <f t="shared" si="0"/>
        <v>45.73</v>
      </c>
      <c r="G28" s="159">
        <f t="shared" si="1"/>
        <v>595.4</v>
      </c>
      <c r="H28" s="137"/>
      <c r="I28" s="200" t="s">
        <v>200</v>
      </c>
      <c r="J28" s="89"/>
      <c r="K28" s="121"/>
      <c r="L28" s="90"/>
    </row>
    <row r="29" spans="1:12" s="91" customFormat="1" ht="12.75">
      <c r="A29" s="160" t="s">
        <v>291</v>
      </c>
      <c r="B29" s="201" t="s">
        <v>194</v>
      </c>
      <c r="C29" s="150" t="s">
        <v>4</v>
      </c>
      <c r="D29" s="135">
        <v>3.07</v>
      </c>
      <c r="E29" s="135">
        <v>37.2</v>
      </c>
      <c r="F29" s="135">
        <f t="shared" si="0"/>
        <v>46.5</v>
      </c>
      <c r="G29" s="159">
        <f t="shared" si="1"/>
        <v>142.76</v>
      </c>
      <c r="H29" s="137"/>
      <c r="I29" s="200" t="s">
        <v>195</v>
      </c>
      <c r="J29" s="89"/>
      <c r="K29" s="121"/>
      <c r="L29" s="90"/>
    </row>
    <row r="30" spans="1:12" s="91" customFormat="1" ht="33.75">
      <c r="A30" s="160"/>
      <c r="B30" s="240" t="s">
        <v>705</v>
      </c>
      <c r="C30" s="150"/>
      <c r="D30" s="135"/>
      <c r="E30" s="135"/>
      <c r="F30" s="135"/>
      <c r="G30" s="159"/>
      <c r="H30" s="137"/>
      <c r="I30" s="200"/>
      <c r="J30" s="89"/>
      <c r="K30" s="121"/>
      <c r="L30" s="90"/>
    </row>
    <row r="31" spans="1:12" s="91" customFormat="1" ht="12.75">
      <c r="A31" s="166"/>
      <c r="B31" s="167" t="s">
        <v>68</v>
      </c>
      <c r="C31" s="168"/>
      <c r="D31" s="169"/>
      <c r="E31" s="170"/>
      <c r="F31" s="170"/>
      <c r="G31" s="171">
        <f>SUM(G24:G29)</f>
        <v>2180.7799999999997</v>
      </c>
      <c r="H31" s="137">
        <f>G31/G441</f>
        <v>0.0017291503453876276</v>
      </c>
      <c r="I31" s="200"/>
      <c r="J31" s="89"/>
      <c r="K31" s="121"/>
      <c r="L31" s="90"/>
    </row>
    <row r="32" spans="1:13" s="91" customFormat="1" ht="12.75" customHeight="1">
      <c r="A32" s="161">
        <v>4</v>
      </c>
      <c r="B32" s="138" t="s">
        <v>17</v>
      </c>
      <c r="C32" s="140"/>
      <c r="D32" s="135"/>
      <c r="E32" s="135"/>
      <c r="F32" s="135"/>
      <c r="G32" s="159"/>
      <c r="H32" s="139"/>
      <c r="I32" s="200"/>
      <c r="J32" s="89"/>
      <c r="K32" s="92"/>
      <c r="L32" s="90"/>
      <c r="M32" s="127"/>
    </row>
    <row r="33" spans="1:12" s="91" customFormat="1" ht="12.75">
      <c r="A33" s="160" t="s">
        <v>26</v>
      </c>
      <c r="B33" s="201" t="s">
        <v>274</v>
      </c>
      <c r="C33" s="150" t="s">
        <v>6</v>
      </c>
      <c r="D33" s="135">
        <v>34.22</v>
      </c>
      <c r="E33" s="135">
        <v>30.64</v>
      </c>
      <c r="F33" s="135">
        <f>ROUND(E33*$J$1,2)</f>
        <v>38.3</v>
      </c>
      <c r="G33" s="159">
        <f>ROUND(+F33*D33,2)</f>
        <v>1310.63</v>
      </c>
      <c r="H33" s="139"/>
      <c r="I33" s="200" t="s">
        <v>97</v>
      </c>
      <c r="J33" s="89"/>
      <c r="K33" s="92"/>
      <c r="L33" s="90"/>
    </row>
    <row r="34" spans="1:12" s="91" customFormat="1" ht="12.75">
      <c r="A34" s="160" t="s">
        <v>27</v>
      </c>
      <c r="B34" s="201" t="s">
        <v>94</v>
      </c>
      <c r="C34" s="150" t="s">
        <v>6</v>
      </c>
      <c r="D34" s="135">
        <v>10.27</v>
      </c>
      <c r="E34" s="135">
        <v>32.04</v>
      </c>
      <c r="F34" s="135">
        <f>ROUND(E34*$J$1,2)</f>
        <v>40.05</v>
      </c>
      <c r="G34" s="159">
        <f>ROUND(+F34*D34,2)</f>
        <v>411.31</v>
      </c>
      <c r="H34" s="139"/>
      <c r="I34" s="200" t="s">
        <v>98</v>
      </c>
      <c r="J34" s="89"/>
      <c r="K34" s="92"/>
      <c r="L34" s="90"/>
    </row>
    <row r="35" spans="1:12" s="91" customFormat="1" ht="12.75">
      <c r="A35" s="166"/>
      <c r="B35" s="167" t="s">
        <v>68</v>
      </c>
      <c r="C35" s="168"/>
      <c r="D35" s="169"/>
      <c r="E35" s="170"/>
      <c r="F35" s="170"/>
      <c r="G35" s="171">
        <f>SUM(G33:G34)</f>
        <v>1721.94</v>
      </c>
      <c r="H35" s="137">
        <f>G35/G441</f>
        <v>0.0013653340299052503</v>
      </c>
      <c r="I35" s="200"/>
      <c r="J35" s="89"/>
      <c r="K35" s="121"/>
      <c r="L35" s="90"/>
    </row>
    <row r="36" spans="1:12" s="91" customFormat="1" ht="12.75">
      <c r="A36" s="161">
        <v>5</v>
      </c>
      <c r="B36" s="138" t="s">
        <v>719</v>
      </c>
      <c r="C36" s="140"/>
      <c r="D36" s="141"/>
      <c r="E36" s="135"/>
      <c r="F36" s="135"/>
      <c r="G36" s="162"/>
      <c r="H36" s="139"/>
      <c r="I36" s="200"/>
      <c r="J36" s="89"/>
      <c r="K36" s="92"/>
      <c r="L36" s="90"/>
    </row>
    <row r="37" spans="1:12" s="91" customFormat="1" ht="12.75">
      <c r="A37" s="160" t="s">
        <v>28</v>
      </c>
      <c r="B37" s="201" t="s">
        <v>275</v>
      </c>
      <c r="C37" s="150" t="s">
        <v>6</v>
      </c>
      <c r="D37" s="142">
        <v>22.61</v>
      </c>
      <c r="E37" s="135">
        <f>2034*0.8</f>
        <v>1627.2</v>
      </c>
      <c r="F37" s="135">
        <f>ROUND(E37*$J$1,2)</f>
        <v>2034</v>
      </c>
      <c r="G37" s="159">
        <f>ROUND(F37*D37,2)</f>
        <v>45988.74</v>
      </c>
      <c r="H37" s="139"/>
      <c r="I37" s="202" t="s">
        <v>99</v>
      </c>
      <c r="J37" s="89"/>
      <c r="K37" s="92"/>
      <c r="L37" s="90"/>
    </row>
    <row r="38" spans="1:12" s="91" customFormat="1" ht="12.75">
      <c r="A38" s="160" t="s">
        <v>292</v>
      </c>
      <c r="B38" s="201" t="s">
        <v>281</v>
      </c>
      <c r="C38" s="150" t="s">
        <v>6</v>
      </c>
      <c r="D38" s="142">
        <f>137.33*0.15*0.1</f>
        <v>2.05995</v>
      </c>
      <c r="E38" s="135">
        <v>110.7</v>
      </c>
      <c r="F38" s="135">
        <f>ROUND(E38*$J$1,2)</f>
        <v>138.38</v>
      </c>
      <c r="G38" s="159">
        <f>ROUND(F38*D38,2)</f>
        <v>285.06</v>
      </c>
      <c r="H38" s="139"/>
      <c r="I38" s="200" t="s">
        <v>276</v>
      </c>
      <c r="J38" s="89"/>
      <c r="K38" s="92"/>
      <c r="L38" s="90"/>
    </row>
    <row r="39" spans="1:12" ht="12.75">
      <c r="A39" s="160" t="s">
        <v>293</v>
      </c>
      <c r="B39" s="201" t="s">
        <v>87</v>
      </c>
      <c r="C39" s="150" t="s">
        <v>6</v>
      </c>
      <c r="D39" s="142">
        <v>11.61</v>
      </c>
      <c r="E39" s="135">
        <v>1932.02</v>
      </c>
      <c r="F39" s="135">
        <f>ROUND(E39*$J$1,2)</f>
        <v>2415.03</v>
      </c>
      <c r="G39" s="159">
        <f>ROUND(F39*D39,2)</f>
        <v>28038.5</v>
      </c>
      <c r="H39" s="139"/>
      <c r="I39" s="202" t="s">
        <v>99</v>
      </c>
      <c r="J39" s="89"/>
      <c r="K39" s="82"/>
      <c r="L39" s="83"/>
    </row>
    <row r="40" spans="1:12" ht="33.75">
      <c r="A40" s="160"/>
      <c r="B40" s="235" t="s">
        <v>92</v>
      </c>
      <c r="C40" s="150"/>
      <c r="D40" s="142"/>
      <c r="E40" s="135"/>
      <c r="F40" s="135"/>
      <c r="G40" s="159"/>
      <c r="H40" s="139"/>
      <c r="J40" s="89"/>
      <c r="K40" s="121"/>
      <c r="L40" s="83"/>
    </row>
    <row r="41" spans="1:12" ht="12.75">
      <c r="A41" s="166"/>
      <c r="B41" s="167" t="s">
        <v>68</v>
      </c>
      <c r="C41" s="168"/>
      <c r="D41" s="197"/>
      <c r="E41" s="170"/>
      <c r="F41" s="170"/>
      <c r="G41" s="171">
        <f>SUM(G37:G40)</f>
        <v>74312.29999999999</v>
      </c>
      <c r="H41" s="137">
        <f>G41/G441</f>
        <v>0.05892255945650134</v>
      </c>
      <c r="J41" s="89"/>
      <c r="K41" s="82"/>
      <c r="L41" s="93"/>
    </row>
    <row r="42" spans="1:12" ht="12.75">
      <c r="A42" s="161">
        <v>6</v>
      </c>
      <c r="B42" s="138" t="s">
        <v>7</v>
      </c>
      <c r="C42" s="140"/>
      <c r="D42" s="141"/>
      <c r="E42" s="135"/>
      <c r="F42" s="135"/>
      <c r="G42" s="162"/>
      <c r="H42" s="139"/>
      <c r="J42" s="89"/>
      <c r="K42" s="82"/>
      <c r="L42" s="90"/>
    </row>
    <row r="43" spans="1:12" ht="12.75">
      <c r="A43" s="160" t="s">
        <v>54</v>
      </c>
      <c r="B43" s="201" t="s">
        <v>88</v>
      </c>
      <c r="C43" s="150" t="s">
        <v>6</v>
      </c>
      <c r="D43" s="142">
        <v>42.5</v>
      </c>
      <c r="E43" s="228">
        <v>2034</v>
      </c>
      <c r="F43" s="135">
        <f aca="true" t="shared" si="2" ref="F43:F48">ROUND(E43*$J$1,2)</f>
        <v>2542.5</v>
      </c>
      <c r="G43" s="159">
        <f aca="true" t="shared" si="3" ref="G43:G48">ROUND(F43*D43,2)</f>
        <v>108056.25</v>
      </c>
      <c r="H43" s="147"/>
      <c r="I43" s="200" t="s">
        <v>99</v>
      </c>
      <c r="J43" s="89"/>
      <c r="K43" s="82"/>
      <c r="L43" s="83"/>
    </row>
    <row r="44" spans="1:12" ht="12.75">
      <c r="A44" s="160" t="s">
        <v>157</v>
      </c>
      <c r="B44" s="201" t="s">
        <v>89</v>
      </c>
      <c r="C44" s="150" t="s">
        <v>6</v>
      </c>
      <c r="D44" s="142">
        <v>28.75</v>
      </c>
      <c r="E44" s="228">
        <v>2034</v>
      </c>
      <c r="F44" s="135">
        <f t="shared" si="2"/>
        <v>2542.5</v>
      </c>
      <c r="G44" s="159">
        <f t="shared" si="3"/>
        <v>73096.88</v>
      </c>
      <c r="H44" s="147"/>
      <c r="I44" s="200" t="s">
        <v>99</v>
      </c>
      <c r="J44" s="89"/>
      <c r="K44" s="82"/>
      <c r="L44" s="93"/>
    </row>
    <row r="45" spans="1:12" ht="22.5">
      <c r="A45" s="160" t="s">
        <v>294</v>
      </c>
      <c r="B45" s="201" t="s">
        <v>278</v>
      </c>
      <c r="C45" s="150" t="s">
        <v>4</v>
      </c>
      <c r="D45" s="142">
        <f>533.5+20.64</f>
        <v>554.14</v>
      </c>
      <c r="E45" s="135">
        <v>42.39</v>
      </c>
      <c r="F45" s="135">
        <f t="shared" si="2"/>
        <v>52.99</v>
      </c>
      <c r="G45" s="159">
        <f t="shared" si="3"/>
        <v>29363.88</v>
      </c>
      <c r="H45" s="147"/>
      <c r="I45" s="200" t="s">
        <v>694</v>
      </c>
      <c r="J45" s="89"/>
      <c r="K45" s="82"/>
      <c r="L45" s="93"/>
    </row>
    <row r="46" spans="1:12" s="91" customFormat="1" ht="22.5">
      <c r="A46" s="160" t="s">
        <v>295</v>
      </c>
      <c r="B46" s="201" t="s">
        <v>105</v>
      </c>
      <c r="C46" s="150" t="s">
        <v>4</v>
      </c>
      <c r="D46" s="142">
        <v>282.58</v>
      </c>
      <c r="E46" s="135">
        <v>42.39</v>
      </c>
      <c r="F46" s="135">
        <f t="shared" si="2"/>
        <v>52.99</v>
      </c>
      <c r="G46" s="159">
        <f t="shared" si="3"/>
        <v>14973.91</v>
      </c>
      <c r="H46" s="147"/>
      <c r="I46" s="200" t="s">
        <v>694</v>
      </c>
      <c r="J46" s="89"/>
      <c r="K46" s="92"/>
      <c r="L46" s="90"/>
    </row>
    <row r="47" spans="1:12" s="91" customFormat="1" ht="12.75">
      <c r="A47" s="160" t="s">
        <v>296</v>
      </c>
      <c r="B47" s="201" t="s">
        <v>279</v>
      </c>
      <c r="C47" s="150" t="s">
        <v>6</v>
      </c>
      <c r="D47" s="142">
        <v>5.45</v>
      </c>
      <c r="E47" s="228">
        <v>1811.39</v>
      </c>
      <c r="F47" s="135">
        <f t="shared" si="2"/>
        <v>2264.24</v>
      </c>
      <c r="G47" s="159">
        <f t="shared" si="3"/>
        <v>12340.11</v>
      </c>
      <c r="H47" s="147"/>
      <c r="I47" s="200" t="s">
        <v>693</v>
      </c>
      <c r="J47" s="94"/>
      <c r="K47" s="92"/>
      <c r="L47" s="90"/>
    </row>
    <row r="48" spans="1:12" ht="22.5">
      <c r="A48" s="160" t="s">
        <v>297</v>
      </c>
      <c r="B48" s="236" t="s">
        <v>121</v>
      </c>
      <c r="C48" s="237" t="s">
        <v>6</v>
      </c>
      <c r="D48" s="238">
        <v>4</v>
      </c>
      <c r="E48" s="228">
        <v>1061.58</v>
      </c>
      <c r="F48" s="228">
        <f t="shared" si="2"/>
        <v>1326.98</v>
      </c>
      <c r="G48" s="239">
        <f t="shared" si="3"/>
        <v>5307.92</v>
      </c>
      <c r="H48" s="147"/>
      <c r="I48" s="200" t="s">
        <v>692</v>
      </c>
      <c r="J48" s="94"/>
      <c r="K48" s="82"/>
      <c r="L48" s="90"/>
    </row>
    <row r="49" spans="1:12" s="91" customFormat="1" ht="33.75">
      <c r="A49" s="226"/>
      <c r="B49" s="240" t="s">
        <v>93</v>
      </c>
      <c r="C49" s="227"/>
      <c r="D49" s="241"/>
      <c r="E49" s="228"/>
      <c r="F49" s="228"/>
      <c r="G49" s="239"/>
      <c r="H49" s="144"/>
      <c r="I49" s="200"/>
      <c r="J49" s="89"/>
      <c r="K49" s="92"/>
      <c r="L49" s="90"/>
    </row>
    <row r="50" spans="1:12" s="91" customFormat="1" ht="12.75">
      <c r="A50" s="166"/>
      <c r="B50" s="167" t="s">
        <v>68</v>
      </c>
      <c r="C50" s="168"/>
      <c r="D50" s="197"/>
      <c r="E50" s="170"/>
      <c r="F50" s="170"/>
      <c r="G50" s="171">
        <f>SUM(G43:G49)</f>
        <v>243138.95000000004</v>
      </c>
      <c r="H50" s="137">
        <f>G50/G441</f>
        <v>0.19278597537105313</v>
      </c>
      <c r="I50" s="200"/>
      <c r="J50" s="89"/>
      <c r="K50" s="92"/>
      <c r="L50" s="90"/>
    </row>
    <row r="51" spans="1:12" s="91" customFormat="1" ht="12.75">
      <c r="A51" s="161">
        <v>7</v>
      </c>
      <c r="B51" s="138" t="s">
        <v>8</v>
      </c>
      <c r="C51" s="140"/>
      <c r="D51" s="141"/>
      <c r="E51" s="135"/>
      <c r="F51" s="135"/>
      <c r="G51" s="162"/>
      <c r="H51" s="139"/>
      <c r="I51" s="200"/>
      <c r="J51" s="89"/>
      <c r="K51" s="92"/>
      <c r="L51" s="90"/>
    </row>
    <row r="52" spans="1:12" ht="12.75">
      <c r="A52" s="160" t="s">
        <v>29</v>
      </c>
      <c r="B52" s="201" t="s">
        <v>95</v>
      </c>
      <c r="C52" s="150" t="s">
        <v>4</v>
      </c>
      <c r="D52" s="142">
        <v>25</v>
      </c>
      <c r="E52" s="135">
        <v>31.35</v>
      </c>
      <c r="F52" s="135">
        <f>ROUND(E52*$J$1,2)</f>
        <v>39.19</v>
      </c>
      <c r="G52" s="159">
        <f>ROUND(F52*D52,2)</f>
        <v>979.75</v>
      </c>
      <c r="H52" s="139"/>
      <c r="I52" s="202" t="s">
        <v>149</v>
      </c>
      <c r="J52" s="89"/>
      <c r="K52" s="82"/>
      <c r="L52" s="126"/>
    </row>
    <row r="53" spans="1:12" s="91" customFormat="1" ht="12.75">
      <c r="A53" s="166"/>
      <c r="B53" s="167" t="s">
        <v>68</v>
      </c>
      <c r="C53" s="168"/>
      <c r="D53" s="197"/>
      <c r="E53" s="170"/>
      <c r="F53" s="170"/>
      <c r="G53" s="171">
        <f>SUM(G52:G52)</f>
        <v>979.75</v>
      </c>
      <c r="H53" s="137">
        <f>G53/G441</f>
        <v>0.0007768482152686325</v>
      </c>
      <c r="I53" s="200"/>
      <c r="J53" s="89"/>
      <c r="K53" s="92"/>
      <c r="L53" s="83"/>
    </row>
    <row r="54" spans="1:11" ht="12.75">
      <c r="A54" s="158">
        <v>8</v>
      </c>
      <c r="B54" s="143" t="s">
        <v>66</v>
      </c>
      <c r="C54" s="150"/>
      <c r="D54" s="141"/>
      <c r="E54" s="135"/>
      <c r="F54" s="135"/>
      <c r="G54" s="159"/>
      <c r="H54" s="139"/>
      <c r="I54" s="200"/>
      <c r="J54" s="89"/>
      <c r="K54" s="82"/>
    </row>
    <row r="55" spans="1:12" ht="12.75">
      <c r="A55" s="160" t="s">
        <v>114</v>
      </c>
      <c r="B55" s="201" t="s">
        <v>106</v>
      </c>
      <c r="C55" s="150" t="s">
        <v>4</v>
      </c>
      <c r="D55" s="142">
        <v>600</v>
      </c>
      <c r="E55" s="135">
        <v>42.97</v>
      </c>
      <c r="F55" s="135">
        <f>ROUND(E55*$J$1,2)</f>
        <v>53.71</v>
      </c>
      <c r="G55" s="159">
        <f>ROUND(F55*D55,2)</f>
        <v>32226</v>
      </c>
      <c r="H55" s="139"/>
      <c r="I55" s="200" t="s">
        <v>107</v>
      </c>
      <c r="J55" s="89"/>
      <c r="K55" s="82"/>
      <c r="L55" s="93"/>
    </row>
    <row r="56" spans="1:12" ht="12.75">
      <c r="A56" s="160" t="s">
        <v>83</v>
      </c>
      <c r="B56" s="212" t="s">
        <v>158</v>
      </c>
      <c r="C56" s="150" t="s">
        <v>4</v>
      </c>
      <c r="D56" s="142">
        <v>27.1</v>
      </c>
      <c r="E56" s="135">
        <v>594.37</v>
      </c>
      <c r="F56" s="135">
        <f>ROUND(E56*$J$1,2)</f>
        <v>742.96</v>
      </c>
      <c r="G56" s="159">
        <f>ROUND(F56*D56,2)</f>
        <v>20134.22</v>
      </c>
      <c r="H56" s="139"/>
      <c r="I56" s="200" t="s">
        <v>263</v>
      </c>
      <c r="J56" s="89"/>
      <c r="K56" s="82"/>
      <c r="L56" s="93"/>
    </row>
    <row r="57" spans="1:12" ht="12.75">
      <c r="A57" s="166"/>
      <c r="B57" s="167" t="s">
        <v>68</v>
      </c>
      <c r="C57" s="168"/>
      <c r="D57" s="197"/>
      <c r="E57" s="170"/>
      <c r="F57" s="170"/>
      <c r="G57" s="171">
        <f>SUM(G55:G56)</f>
        <v>52360.22</v>
      </c>
      <c r="H57" s="137">
        <f>G57/G441</f>
        <v>0.041516655736741986</v>
      </c>
      <c r="J57" s="89"/>
      <c r="K57" s="82"/>
      <c r="L57" s="90"/>
    </row>
    <row r="58" spans="1:12" ht="12.75">
      <c r="A58" s="158">
        <v>9</v>
      </c>
      <c r="B58" s="143" t="s">
        <v>9</v>
      </c>
      <c r="C58" s="150" t="s">
        <v>37</v>
      </c>
      <c r="D58" s="142"/>
      <c r="E58" s="135"/>
      <c r="F58" s="135"/>
      <c r="G58" s="159"/>
      <c r="H58" s="139"/>
      <c r="I58" s="200"/>
      <c r="J58" s="89"/>
      <c r="K58" s="82"/>
      <c r="L58" s="83"/>
    </row>
    <row r="59" spans="1:12" ht="22.5">
      <c r="A59" s="160" t="s">
        <v>30</v>
      </c>
      <c r="B59" s="212" t="s">
        <v>265</v>
      </c>
      <c r="C59" s="150" t="s">
        <v>35</v>
      </c>
      <c r="D59" s="142">
        <v>3</v>
      </c>
      <c r="E59" s="135">
        <v>672</v>
      </c>
      <c r="F59" s="135">
        <f>ROUND(E59*$J$1,2)</f>
        <v>840</v>
      </c>
      <c r="G59" s="159">
        <f>ROUND(F59*D59,2)</f>
        <v>2520</v>
      </c>
      <c r="H59" s="139"/>
      <c r="I59" s="206" t="s">
        <v>264</v>
      </c>
      <c r="J59" s="89"/>
      <c r="K59" s="82"/>
      <c r="L59" s="83"/>
    </row>
    <row r="60" spans="1:12" ht="22.5">
      <c r="A60" s="160" t="s">
        <v>76</v>
      </c>
      <c r="B60" s="212" t="s">
        <v>266</v>
      </c>
      <c r="C60" s="150" t="s">
        <v>35</v>
      </c>
      <c r="D60" s="142">
        <v>20</v>
      </c>
      <c r="E60" s="135">
        <v>1456</v>
      </c>
      <c r="F60" s="135">
        <f>ROUND(E60*$J$1,2)</f>
        <v>1820</v>
      </c>
      <c r="G60" s="159">
        <f>ROUND(F60*D60,2)</f>
        <v>36400</v>
      </c>
      <c r="H60" s="139"/>
      <c r="I60" s="206" t="s">
        <v>264</v>
      </c>
      <c r="J60" s="89"/>
      <c r="K60" s="82"/>
      <c r="L60" s="83"/>
    </row>
    <row r="61" spans="1:12" ht="12.75">
      <c r="A61" s="160" t="s">
        <v>128</v>
      </c>
      <c r="B61" s="201" t="s">
        <v>277</v>
      </c>
      <c r="C61" s="150" t="s">
        <v>35</v>
      </c>
      <c r="D61" s="142">
        <v>6</v>
      </c>
      <c r="E61" s="135">
        <v>545.45</v>
      </c>
      <c r="F61" s="135">
        <f>ROUND(E61*$J$1,2)</f>
        <v>681.81</v>
      </c>
      <c r="G61" s="159">
        <f>ROUND(F61*D61,2)</f>
        <v>4090.86</v>
      </c>
      <c r="H61" s="139"/>
      <c r="I61" s="200" t="s">
        <v>108</v>
      </c>
      <c r="J61" s="89"/>
      <c r="K61" s="82"/>
      <c r="L61" s="83"/>
    </row>
    <row r="62" spans="1:12" ht="12.75">
      <c r="A62" s="160" t="s">
        <v>129</v>
      </c>
      <c r="B62" s="201" t="s">
        <v>134</v>
      </c>
      <c r="C62" s="150" t="s">
        <v>12</v>
      </c>
      <c r="D62" s="142">
        <v>210</v>
      </c>
      <c r="E62" s="135">
        <v>36.55</v>
      </c>
      <c r="F62" s="135">
        <f>ROUND(E62*$J$1,2)</f>
        <v>45.69</v>
      </c>
      <c r="G62" s="159">
        <f>ROUND(F62*D62,2)</f>
        <v>9594.9</v>
      </c>
      <c r="H62" s="139"/>
      <c r="I62" s="200" t="s">
        <v>151</v>
      </c>
      <c r="J62" s="89"/>
      <c r="K62" s="82"/>
      <c r="L62" s="83"/>
    </row>
    <row r="63" spans="1:12" ht="12.75">
      <c r="A63" s="160" t="s">
        <v>298</v>
      </c>
      <c r="B63" s="201" t="s">
        <v>198</v>
      </c>
      <c r="C63" s="150" t="s">
        <v>4</v>
      </c>
      <c r="D63" s="142">
        <v>4</v>
      </c>
      <c r="E63" s="135">
        <v>6.1</v>
      </c>
      <c r="F63" s="135">
        <f>ROUND(E63*$J$1,2)</f>
        <v>7.63</v>
      </c>
      <c r="G63" s="159">
        <f>ROUND(F63*D63,2)</f>
        <v>30.52</v>
      </c>
      <c r="H63" s="139"/>
      <c r="I63" s="200" t="s">
        <v>197</v>
      </c>
      <c r="J63" s="89"/>
      <c r="K63" s="82"/>
      <c r="L63" s="83"/>
    </row>
    <row r="64" spans="1:12" ht="12.75">
      <c r="A64" s="166"/>
      <c r="B64" s="167" t="s">
        <v>68</v>
      </c>
      <c r="C64" s="168"/>
      <c r="D64" s="197"/>
      <c r="E64" s="170"/>
      <c r="F64" s="170"/>
      <c r="G64" s="171">
        <f>SUM(G59:G63)</f>
        <v>52636.28</v>
      </c>
      <c r="H64" s="137">
        <f>G64/G441</f>
        <v>0.041735544961857635</v>
      </c>
      <c r="I64" s="200"/>
      <c r="J64" s="89"/>
      <c r="K64" s="82"/>
      <c r="L64" s="90"/>
    </row>
    <row r="65" spans="1:12" ht="12.75">
      <c r="A65" s="158">
        <v>10</v>
      </c>
      <c r="B65" s="143" t="s">
        <v>10</v>
      </c>
      <c r="C65" s="150"/>
      <c r="D65" s="142"/>
      <c r="E65" s="135"/>
      <c r="F65" s="135"/>
      <c r="G65" s="159"/>
      <c r="H65" s="139"/>
      <c r="J65" s="89"/>
      <c r="K65" s="82"/>
      <c r="L65" s="90"/>
    </row>
    <row r="66" spans="1:12" ht="12.75">
      <c r="A66" s="160" t="s">
        <v>31</v>
      </c>
      <c r="B66" s="201" t="s">
        <v>154</v>
      </c>
      <c r="C66" s="150" t="s">
        <v>4</v>
      </c>
      <c r="D66" s="142">
        <v>315.67</v>
      </c>
      <c r="E66" s="135">
        <v>18.15</v>
      </c>
      <c r="F66" s="135">
        <f aca="true" t="shared" si="4" ref="F66:F71">ROUND(E66*$J$1,2)</f>
        <v>22.69</v>
      </c>
      <c r="G66" s="159">
        <f aca="true" t="shared" si="5" ref="G66:G71">ROUND(F66*D66,2)</f>
        <v>7162.55</v>
      </c>
      <c r="H66" s="139"/>
      <c r="I66" s="202" t="s">
        <v>156</v>
      </c>
      <c r="J66" s="89"/>
      <c r="K66" s="82"/>
      <c r="L66" s="90"/>
    </row>
    <row r="67" spans="1:12" s="91" customFormat="1" ht="12.75">
      <c r="A67" s="160" t="s">
        <v>32</v>
      </c>
      <c r="B67" s="201" t="s">
        <v>136</v>
      </c>
      <c r="C67" s="150" t="s">
        <v>12</v>
      </c>
      <c r="D67" s="142">
        <v>37.09</v>
      </c>
      <c r="E67" s="135">
        <v>37.09</v>
      </c>
      <c r="F67" s="135">
        <f t="shared" si="4"/>
        <v>46.36</v>
      </c>
      <c r="G67" s="159">
        <f t="shared" si="5"/>
        <v>1719.49</v>
      </c>
      <c r="H67" s="139"/>
      <c r="I67" s="200" t="s">
        <v>260</v>
      </c>
      <c r="J67" s="94"/>
      <c r="K67" s="92"/>
      <c r="L67" s="129"/>
    </row>
    <row r="68" spans="1:12" ht="12.75">
      <c r="A68" s="160" t="s">
        <v>77</v>
      </c>
      <c r="B68" s="201" t="s">
        <v>133</v>
      </c>
      <c r="C68" s="150" t="s">
        <v>61</v>
      </c>
      <c r="D68" s="142">
        <v>51.77</v>
      </c>
      <c r="E68" s="135">
        <v>48.66</v>
      </c>
      <c r="F68" s="135">
        <f t="shared" si="4"/>
        <v>60.83</v>
      </c>
      <c r="G68" s="159">
        <f t="shared" si="5"/>
        <v>3149.17</v>
      </c>
      <c r="H68" s="139"/>
      <c r="I68" s="200" t="s">
        <v>261</v>
      </c>
      <c r="J68" s="89"/>
      <c r="K68" s="82"/>
      <c r="L68" s="90"/>
    </row>
    <row r="69" spans="1:12" ht="12.75" customHeight="1">
      <c r="A69" s="160" t="s">
        <v>130</v>
      </c>
      <c r="B69" s="201" t="s">
        <v>120</v>
      </c>
      <c r="C69" s="150" t="s">
        <v>12</v>
      </c>
      <c r="D69" s="142">
        <v>43.54</v>
      </c>
      <c r="E69" s="135">
        <v>35.02</v>
      </c>
      <c r="F69" s="135">
        <f t="shared" si="4"/>
        <v>43.78</v>
      </c>
      <c r="G69" s="159">
        <f t="shared" si="5"/>
        <v>1906.18</v>
      </c>
      <c r="H69" s="139"/>
      <c r="I69" s="200" t="s">
        <v>262</v>
      </c>
      <c r="J69" s="89"/>
      <c r="K69" s="82"/>
      <c r="L69" s="90"/>
    </row>
    <row r="70" spans="1:12" ht="12.75" customHeight="1">
      <c r="A70" s="160" t="s">
        <v>131</v>
      </c>
      <c r="B70" s="201" t="s">
        <v>161</v>
      </c>
      <c r="C70" s="150" t="s">
        <v>12</v>
      </c>
      <c r="D70" s="142">
        <v>12.38</v>
      </c>
      <c r="E70" s="135">
        <v>33.54</v>
      </c>
      <c r="F70" s="135">
        <f t="shared" si="4"/>
        <v>41.93</v>
      </c>
      <c r="G70" s="159">
        <f t="shared" si="5"/>
        <v>519.09</v>
      </c>
      <c r="H70" s="139"/>
      <c r="I70" s="200" t="s">
        <v>259</v>
      </c>
      <c r="J70" s="89"/>
      <c r="K70" s="82"/>
      <c r="L70" s="90"/>
    </row>
    <row r="71" spans="1:12" ht="12.75" customHeight="1">
      <c r="A71" s="160" t="s">
        <v>703</v>
      </c>
      <c r="B71" s="201" t="s">
        <v>704</v>
      </c>
      <c r="C71" s="150" t="s">
        <v>4</v>
      </c>
      <c r="D71" s="142">
        <v>55</v>
      </c>
      <c r="E71" s="135">
        <v>22.5</v>
      </c>
      <c r="F71" s="135">
        <f t="shared" si="4"/>
        <v>28.13</v>
      </c>
      <c r="G71" s="159">
        <f t="shared" si="5"/>
        <v>1547.15</v>
      </c>
      <c r="H71" s="139"/>
      <c r="I71" s="200"/>
      <c r="J71" s="89"/>
      <c r="K71" s="82"/>
      <c r="L71" s="90"/>
    </row>
    <row r="72" spans="1:12" ht="12.75">
      <c r="A72" s="160"/>
      <c r="B72" s="156" t="s">
        <v>79</v>
      </c>
      <c r="C72" s="150"/>
      <c r="D72" s="142"/>
      <c r="E72" s="135"/>
      <c r="F72" s="135"/>
      <c r="G72" s="159"/>
      <c r="H72" s="139"/>
      <c r="J72" s="89"/>
      <c r="K72" s="82"/>
      <c r="L72" s="90"/>
    </row>
    <row r="73" spans="1:8" ht="12.75">
      <c r="A73" s="166"/>
      <c r="B73" s="167" t="s">
        <v>68</v>
      </c>
      <c r="C73" s="168"/>
      <c r="D73" s="197"/>
      <c r="E73" s="170"/>
      <c r="F73" s="170"/>
      <c r="G73" s="171">
        <f>SUM(G66:G72)</f>
        <v>16003.630000000001</v>
      </c>
      <c r="H73" s="137">
        <f>G73/G441</f>
        <v>0.012689350756131203</v>
      </c>
    </row>
    <row r="74" spans="1:12" ht="12.75">
      <c r="A74" s="163">
        <v>11</v>
      </c>
      <c r="B74" s="143" t="s">
        <v>49</v>
      </c>
      <c r="C74" s="140"/>
      <c r="D74" s="142"/>
      <c r="E74" s="135"/>
      <c r="F74" s="135"/>
      <c r="G74" s="162"/>
      <c r="H74" s="139"/>
      <c r="J74" s="89"/>
      <c r="K74" s="82"/>
      <c r="L74" s="90"/>
    </row>
    <row r="75" spans="1:12" ht="22.5">
      <c r="A75" s="160" t="s">
        <v>190</v>
      </c>
      <c r="B75" s="201" t="s">
        <v>124</v>
      </c>
      <c r="C75" s="150" t="s">
        <v>4</v>
      </c>
      <c r="D75" s="213">
        <v>1200</v>
      </c>
      <c r="E75" s="135">
        <v>4.65</v>
      </c>
      <c r="F75" s="135">
        <f>ROUND(E75*$J$1,2)</f>
        <v>5.81</v>
      </c>
      <c r="G75" s="159">
        <f>ROUND(F75*D75,2)</f>
        <v>6972</v>
      </c>
      <c r="H75" s="139"/>
      <c r="I75" s="202" t="s">
        <v>122</v>
      </c>
      <c r="J75" s="89"/>
      <c r="K75" s="82"/>
      <c r="L75" s="83"/>
    </row>
    <row r="76" spans="1:12" s="119" customFormat="1" ht="11.25" customHeight="1">
      <c r="A76" s="160" t="s">
        <v>33</v>
      </c>
      <c r="B76" s="212" t="s">
        <v>125</v>
      </c>
      <c r="C76" s="214" t="s">
        <v>4</v>
      </c>
      <c r="D76" s="215">
        <v>1200</v>
      </c>
      <c r="E76" s="216">
        <v>10.94</v>
      </c>
      <c r="F76" s="135">
        <f>ROUND(E76*$J$1,2)</f>
        <v>13.68</v>
      </c>
      <c r="G76" s="159">
        <f>ROUND(F76*D76,2)</f>
        <v>16416</v>
      </c>
      <c r="H76" s="139"/>
      <c r="I76" s="207" t="s">
        <v>123</v>
      </c>
      <c r="J76" s="116"/>
      <c r="K76" s="117"/>
      <c r="L76" s="118"/>
    </row>
    <row r="77" spans="1:12" s="119" customFormat="1" ht="22.5">
      <c r="A77" s="160" t="s">
        <v>189</v>
      </c>
      <c r="B77" s="212" t="s">
        <v>126</v>
      </c>
      <c r="C77" s="214" t="s">
        <v>4</v>
      </c>
      <c r="D77" s="215">
        <v>520</v>
      </c>
      <c r="E77" s="216">
        <v>4.65</v>
      </c>
      <c r="F77" s="135">
        <f>ROUND(E77*$J$1,2)</f>
        <v>5.81</v>
      </c>
      <c r="G77" s="159">
        <f>ROUND(F77*D77,2)</f>
        <v>3021.2</v>
      </c>
      <c r="H77" s="139"/>
      <c r="I77" s="207" t="s">
        <v>122</v>
      </c>
      <c r="J77" s="116"/>
      <c r="K77" s="149"/>
      <c r="L77" s="118"/>
    </row>
    <row r="78" spans="1:12" s="119" customFormat="1" ht="11.25" customHeight="1">
      <c r="A78" s="160" t="s">
        <v>299</v>
      </c>
      <c r="B78" s="212" t="s">
        <v>127</v>
      </c>
      <c r="C78" s="214" t="s">
        <v>4</v>
      </c>
      <c r="D78" s="215">
        <v>520</v>
      </c>
      <c r="E78" s="216">
        <v>10.94</v>
      </c>
      <c r="F78" s="135">
        <f>ROUND(E78*$J$1,2)</f>
        <v>13.68</v>
      </c>
      <c r="G78" s="159">
        <f>ROUND(F78*D78,2)</f>
        <v>7113.6</v>
      </c>
      <c r="H78" s="139"/>
      <c r="I78" s="207" t="s">
        <v>123</v>
      </c>
      <c r="J78" s="116"/>
      <c r="K78" s="149"/>
      <c r="L78" s="118"/>
    </row>
    <row r="79" spans="1:12" s="91" customFormat="1" ht="12.75" customHeight="1">
      <c r="A79" s="166"/>
      <c r="B79" s="167" t="s">
        <v>68</v>
      </c>
      <c r="C79" s="168"/>
      <c r="D79" s="197"/>
      <c r="E79" s="170"/>
      <c r="F79" s="170"/>
      <c r="G79" s="171">
        <f>SUM(G75:G78)</f>
        <v>33522.8</v>
      </c>
      <c r="H79" s="137">
        <f>G79/G441</f>
        <v>0.026580380046754087</v>
      </c>
      <c r="I79" s="200"/>
      <c r="J79" s="89"/>
      <c r="K79" s="92"/>
      <c r="L79" s="90"/>
    </row>
    <row r="80" spans="1:12" s="91" customFormat="1" ht="12.75">
      <c r="A80" s="163">
        <v>12</v>
      </c>
      <c r="B80" s="138" t="s">
        <v>148</v>
      </c>
      <c r="C80" s="140"/>
      <c r="D80" s="142"/>
      <c r="E80" s="135"/>
      <c r="F80" s="135"/>
      <c r="G80" s="162"/>
      <c r="H80" s="139"/>
      <c r="I80" s="200"/>
      <c r="J80" s="89"/>
      <c r="K80" s="92"/>
      <c r="L80" s="90"/>
    </row>
    <row r="81" spans="1:12" s="91" customFormat="1" ht="12.75" customHeight="1">
      <c r="A81" s="160" t="s">
        <v>58</v>
      </c>
      <c r="B81" s="201" t="s">
        <v>216</v>
      </c>
      <c r="C81" s="150" t="s">
        <v>4</v>
      </c>
      <c r="D81" s="142">
        <v>202</v>
      </c>
      <c r="E81" s="135">
        <v>43.09</v>
      </c>
      <c r="F81" s="135">
        <f aca="true" t="shared" si="6" ref="F81:F86">ROUND(E81*$J$1,2)</f>
        <v>53.86</v>
      </c>
      <c r="G81" s="159">
        <f aca="true" t="shared" si="7" ref="G81:G86">ROUND(F81*D81,2)</f>
        <v>10879.72</v>
      </c>
      <c r="H81" s="139"/>
      <c r="I81" s="200" t="s">
        <v>695</v>
      </c>
      <c r="J81" s="94"/>
      <c r="K81" s="92"/>
      <c r="L81" s="90"/>
    </row>
    <row r="82" spans="1:12" s="91" customFormat="1" ht="12.75">
      <c r="A82" s="160" t="s">
        <v>164</v>
      </c>
      <c r="B82" s="201" t="s">
        <v>253</v>
      </c>
      <c r="C82" s="150" t="s">
        <v>4</v>
      </c>
      <c r="D82" s="142">
        <v>332.56</v>
      </c>
      <c r="E82" s="135">
        <v>71.19</v>
      </c>
      <c r="F82" s="135">
        <f t="shared" si="6"/>
        <v>88.99</v>
      </c>
      <c r="G82" s="159">
        <f t="shared" si="7"/>
        <v>29594.51</v>
      </c>
      <c r="H82" s="139"/>
      <c r="I82" s="200" t="s">
        <v>696</v>
      </c>
      <c r="J82" s="89"/>
      <c r="K82" s="92"/>
      <c r="L82" s="90"/>
    </row>
    <row r="83" spans="1:12" s="91" customFormat="1" ht="12.75">
      <c r="A83" s="160" t="s">
        <v>165</v>
      </c>
      <c r="B83" s="201" t="s">
        <v>255</v>
      </c>
      <c r="C83" s="150" t="s">
        <v>12</v>
      </c>
      <c r="D83" s="142">
        <v>104</v>
      </c>
      <c r="E83" s="135">
        <v>8.21</v>
      </c>
      <c r="F83" s="135">
        <f t="shared" si="6"/>
        <v>10.26</v>
      </c>
      <c r="G83" s="159">
        <f t="shared" si="7"/>
        <v>1067.04</v>
      </c>
      <c r="H83" s="139"/>
      <c r="I83" s="200" t="s">
        <v>254</v>
      </c>
      <c r="J83" s="89"/>
      <c r="K83" s="92"/>
      <c r="L83" s="90"/>
    </row>
    <row r="84" spans="1:12" s="91" customFormat="1" ht="12.75">
      <c r="A84" s="160" t="s">
        <v>166</v>
      </c>
      <c r="B84" s="201" t="s">
        <v>135</v>
      </c>
      <c r="C84" s="150" t="s">
        <v>12</v>
      </c>
      <c r="D84" s="142">
        <v>180</v>
      </c>
      <c r="E84" s="135">
        <v>17.33</v>
      </c>
      <c r="F84" s="135">
        <f t="shared" si="6"/>
        <v>21.66</v>
      </c>
      <c r="G84" s="159">
        <f t="shared" si="7"/>
        <v>3898.8</v>
      </c>
      <c r="H84" s="139"/>
      <c r="I84" s="200" t="s">
        <v>256</v>
      </c>
      <c r="J84" s="89"/>
      <c r="K84" s="92"/>
      <c r="L84" s="90"/>
    </row>
    <row r="85" spans="1:12" s="91" customFormat="1" ht="12.75">
      <c r="A85" s="160" t="s">
        <v>167</v>
      </c>
      <c r="B85" s="212" t="s">
        <v>217</v>
      </c>
      <c r="C85" s="150" t="s">
        <v>12</v>
      </c>
      <c r="D85" s="142">
        <v>6</v>
      </c>
      <c r="E85" s="135">
        <v>79.43</v>
      </c>
      <c r="F85" s="135">
        <f>ROUND(E85*$J$1,2)</f>
        <v>99.29</v>
      </c>
      <c r="G85" s="159">
        <f>ROUND(F85*D85,2)</f>
        <v>595.74</v>
      </c>
      <c r="H85" s="139"/>
      <c r="I85" s="200" t="s">
        <v>257</v>
      </c>
      <c r="J85" s="89"/>
      <c r="K85" s="92"/>
      <c r="L85" s="90"/>
    </row>
    <row r="86" spans="1:12" s="91" customFormat="1" ht="22.5">
      <c r="A86" s="160" t="s">
        <v>168</v>
      </c>
      <c r="B86" s="212" t="s">
        <v>697</v>
      </c>
      <c r="C86" s="150" t="s">
        <v>12</v>
      </c>
      <c r="D86" s="142">
        <v>57.5</v>
      </c>
      <c r="E86" s="135">
        <v>71.67</v>
      </c>
      <c r="F86" s="135">
        <f t="shared" si="6"/>
        <v>89.59</v>
      </c>
      <c r="G86" s="159">
        <f t="shared" si="7"/>
        <v>5151.43</v>
      </c>
      <c r="H86" s="139"/>
      <c r="I86" s="200" t="s">
        <v>258</v>
      </c>
      <c r="J86" s="89"/>
      <c r="K86" s="121"/>
      <c r="L86" s="90"/>
    </row>
    <row r="87" spans="1:12" ht="12.75">
      <c r="A87" s="166"/>
      <c r="B87" s="167" t="s">
        <v>68</v>
      </c>
      <c r="C87" s="168"/>
      <c r="D87" s="197"/>
      <c r="E87" s="170"/>
      <c r="F87" s="170"/>
      <c r="G87" s="171">
        <f>SUM(G81:G86)</f>
        <v>51187.24</v>
      </c>
      <c r="H87" s="137">
        <f>G87/G441</f>
        <v>0.040586594578746776</v>
      </c>
      <c r="I87" s="200"/>
      <c r="J87" s="89"/>
      <c r="K87" s="82"/>
      <c r="L87" s="83"/>
    </row>
    <row r="88" spans="1:12" ht="12.75">
      <c r="A88" s="163">
        <v>13</v>
      </c>
      <c r="B88" s="138" t="s">
        <v>153</v>
      </c>
      <c r="C88" s="140"/>
      <c r="D88" s="142"/>
      <c r="E88" s="135"/>
      <c r="F88" s="135"/>
      <c r="G88" s="162"/>
      <c r="H88" s="139"/>
      <c r="J88" s="89"/>
      <c r="K88" s="82"/>
      <c r="L88" s="83"/>
    </row>
    <row r="89" spans="1:12" ht="12.75">
      <c r="A89" s="160" t="s">
        <v>300</v>
      </c>
      <c r="B89" s="201" t="s">
        <v>191</v>
      </c>
      <c r="C89" s="150" t="s">
        <v>12</v>
      </c>
      <c r="D89" s="142">
        <v>35</v>
      </c>
      <c r="E89" s="135">
        <v>2.42</v>
      </c>
      <c r="F89" s="135">
        <f>ROUND(E89*$J$1,2)</f>
        <v>3.03</v>
      </c>
      <c r="G89" s="159">
        <f>ROUND(F89*D89,2)</f>
        <v>106.05</v>
      </c>
      <c r="H89" s="139"/>
      <c r="I89" s="202" t="s">
        <v>251</v>
      </c>
      <c r="J89" s="89"/>
      <c r="K89" s="82"/>
      <c r="L89" s="83"/>
    </row>
    <row r="90" spans="1:12" ht="12.75">
      <c r="A90" s="160" t="s">
        <v>155</v>
      </c>
      <c r="B90" s="201" t="s">
        <v>192</v>
      </c>
      <c r="C90" s="150" t="s">
        <v>18</v>
      </c>
      <c r="D90" s="142">
        <v>6</v>
      </c>
      <c r="E90" s="135">
        <v>67.1</v>
      </c>
      <c r="F90" s="135">
        <f>ROUND(E90*$J$1,2)</f>
        <v>83.88</v>
      </c>
      <c r="G90" s="159">
        <f>ROUND(F90*D90,2)</f>
        <v>503.28</v>
      </c>
      <c r="H90" s="139"/>
      <c r="I90" s="202" t="s">
        <v>252</v>
      </c>
      <c r="J90" s="89"/>
      <c r="K90" s="82"/>
      <c r="L90" s="83"/>
    </row>
    <row r="91" spans="1:12" ht="12.75">
      <c r="A91" s="166"/>
      <c r="B91" s="167" t="s">
        <v>68</v>
      </c>
      <c r="C91" s="168"/>
      <c r="D91" s="197"/>
      <c r="E91" s="170"/>
      <c r="F91" s="170"/>
      <c r="G91" s="171">
        <f>SUM(G89:G90)</f>
        <v>609.3299999999999</v>
      </c>
      <c r="H91" s="137">
        <f>G91/G441</f>
        <v>0.0004831405185094522</v>
      </c>
      <c r="J91" s="89"/>
      <c r="K91" s="121"/>
      <c r="L91" s="93"/>
    </row>
    <row r="92" spans="1:12" s="91" customFormat="1" ht="12.75">
      <c r="A92" s="163">
        <v>14</v>
      </c>
      <c r="B92" s="146" t="s">
        <v>152</v>
      </c>
      <c r="C92" s="140"/>
      <c r="D92" s="142"/>
      <c r="E92" s="135"/>
      <c r="F92" s="135"/>
      <c r="G92" s="162"/>
      <c r="H92" s="139"/>
      <c r="I92" s="200"/>
      <c r="J92" s="89"/>
      <c r="K92" s="92"/>
      <c r="L92" s="90"/>
    </row>
    <row r="93" spans="1:12" s="91" customFormat="1" ht="22.5">
      <c r="A93" s="160" t="s">
        <v>212</v>
      </c>
      <c r="B93" s="217" t="s">
        <v>163</v>
      </c>
      <c r="C93" s="150" t="s">
        <v>170</v>
      </c>
      <c r="D93" s="142">
        <v>1</v>
      </c>
      <c r="E93" s="135">
        <f>1628.8+1495.29</f>
        <v>3124.09</v>
      </c>
      <c r="F93" s="135">
        <f>ROUND(E93*$J$1,2)</f>
        <v>3905.11</v>
      </c>
      <c r="G93" s="159">
        <f>ROUND(F93*D93,2)</f>
        <v>3905.11</v>
      </c>
      <c r="H93" s="139"/>
      <c r="I93" s="200" t="s">
        <v>224</v>
      </c>
      <c r="J93" s="89"/>
      <c r="K93" s="92"/>
      <c r="L93" s="90"/>
    </row>
    <row r="94" spans="1:12" s="91" customFormat="1" ht="22.5">
      <c r="A94" s="160" t="s">
        <v>213</v>
      </c>
      <c r="B94" s="217" t="s">
        <v>169</v>
      </c>
      <c r="C94" s="150" t="s">
        <v>18</v>
      </c>
      <c r="D94" s="142">
        <v>2</v>
      </c>
      <c r="E94" s="135">
        <v>325.23</v>
      </c>
      <c r="F94" s="135">
        <f>ROUND(E94*$J$1,2)</f>
        <v>406.54</v>
      </c>
      <c r="G94" s="159">
        <f>ROUND(F94*D94,2)</f>
        <v>813.08</v>
      </c>
      <c r="H94" s="139"/>
      <c r="I94" s="200" t="s">
        <v>225</v>
      </c>
      <c r="J94" s="89"/>
      <c r="K94" s="92"/>
      <c r="L94" s="90"/>
    </row>
    <row r="95" spans="1:12" s="91" customFormat="1" ht="12.75">
      <c r="A95" s="160" t="s">
        <v>214</v>
      </c>
      <c r="B95" s="217" t="s">
        <v>171</v>
      </c>
      <c r="C95" s="150" t="s">
        <v>18</v>
      </c>
      <c r="D95" s="142">
        <v>3</v>
      </c>
      <c r="E95" s="135">
        <v>9.48</v>
      </c>
      <c r="F95" s="135">
        <f aca="true" t="shared" si="8" ref="F95:F112">ROUND(E95*$J$1,2)</f>
        <v>11.85</v>
      </c>
      <c r="G95" s="159">
        <f aca="true" t="shared" si="9" ref="G95:G112">ROUND(F95*D95,2)</f>
        <v>35.55</v>
      </c>
      <c r="H95" s="139"/>
      <c r="I95" s="200" t="s">
        <v>226</v>
      </c>
      <c r="J95" s="89"/>
      <c r="K95" s="92"/>
      <c r="L95" s="90"/>
    </row>
    <row r="96" spans="1:12" s="91" customFormat="1" ht="12.75">
      <c r="A96" s="160" t="s">
        <v>301</v>
      </c>
      <c r="B96" s="217" t="s">
        <v>172</v>
      </c>
      <c r="C96" s="150" t="s">
        <v>18</v>
      </c>
      <c r="D96" s="142">
        <v>4</v>
      </c>
      <c r="E96" s="135">
        <v>10.22</v>
      </c>
      <c r="F96" s="135">
        <f t="shared" si="8"/>
        <v>12.78</v>
      </c>
      <c r="G96" s="159">
        <f t="shared" si="9"/>
        <v>51.12</v>
      </c>
      <c r="H96" s="139"/>
      <c r="I96" s="200" t="s">
        <v>227</v>
      </c>
      <c r="J96" s="89"/>
      <c r="K96" s="92"/>
      <c r="L96" s="90"/>
    </row>
    <row r="97" spans="1:12" s="91" customFormat="1" ht="12.75">
      <c r="A97" s="160" t="s">
        <v>302</v>
      </c>
      <c r="B97" s="217" t="s">
        <v>173</v>
      </c>
      <c r="C97" s="150" t="s">
        <v>18</v>
      </c>
      <c r="D97" s="142">
        <v>8</v>
      </c>
      <c r="E97" s="135">
        <v>17.89</v>
      </c>
      <c r="F97" s="135">
        <f t="shared" si="8"/>
        <v>22.36</v>
      </c>
      <c r="G97" s="159">
        <f t="shared" si="9"/>
        <v>178.88</v>
      </c>
      <c r="H97" s="139"/>
      <c r="I97" s="200" t="s">
        <v>228</v>
      </c>
      <c r="J97" s="89"/>
      <c r="K97" s="92"/>
      <c r="L97" s="90"/>
    </row>
    <row r="98" spans="1:12" s="91" customFormat="1" ht="12.75">
      <c r="A98" s="160" t="s">
        <v>303</v>
      </c>
      <c r="B98" s="217" t="s">
        <v>174</v>
      </c>
      <c r="C98" s="150" t="s">
        <v>18</v>
      </c>
      <c r="D98" s="142">
        <v>8</v>
      </c>
      <c r="E98" s="135">
        <v>9.31</v>
      </c>
      <c r="F98" s="135">
        <f t="shared" si="8"/>
        <v>11.64</v>
      </c>
      <c r="G98" s="159">
        <f t="shared" si="9"/>
        <v>93.12</v>
      </c>
      <c r="H98" s="139"/>
      <c r="I98" s="200" t="s">
        <v>229</v>
      </c>
      <c r="J98" s="89"/>
      <c r="K98" s="92"/>
      <c r="L98" s="90"/>
    </row>
    <row r="99" spans="1:12" s="91" customFormat="1" ht="12.75">
      <c r="A99" s="160" t="s">
        <v>304</v>
      </c>
      <c r="B99" s="217" t="s">
        <v>175</v>
      </c>
      <c r="C99" s="150" t="s">
        <v>18</v>
      </c>
      <c r="D99" s="142">
        <v>4</v>
      </c>
      <c r="E99" s="135">
        <v>9.81</v>
      </c>
      <c r="F99" s="135">
        <f t="shared" si="8"/>
        <v>12.26</v>
      </c>
      <c r="G99" s="159">
        <f t="shared" si="9"/>
        <v>49.04</v>
      </c>
      <c r="H99" s="139"/>
      <c r="I99" s="200" t="s">
        <v>162</v>
      </c>
      <c r="J99" s="89"/>
      <c r="K99" s="92"/>
      <c r="L99" s="90"/>
    </row>
    <row r="100" spans="1:12" s="91" customFormat="1" ht="12.75">
      <c r="A100" s="160" t="s">
        <v>305</v>
      </c>
      <c r="B100" s="217" t="s">
        <v>176</v>
      </c>
      <c r="C100" s="150" t="s">
        <v>18</v>
      </c>
      <c r="D100" s="142">
        <v>11</v>
      </c>
      <c r="E100" s="135">
        <v>18.37</v>
      </c>
      <c r="F100" s="135">
        <f t="shared" si="8"/>
        <v>22.96</v>
      </c>
      <c r="G100" s="159">
        <f t="shared" si="9"/>
        <v>252.56</v>
      </c>
      <c r="H100" s="139"/>
      <c r="I100" s="200" t="s">
        <v>230</v>
      </c>
      <c r="J100" s="89"/>
      <c r="K100" s="92"/>
      <c r="L100" s="90"/>
    </row>
    <row r="101" spans="1:12" s="91" customFormat="1" ht="12.75">
      <c r="A101" s="160" t="s">
        <v>306</v>
      </c>
      <c r="B101" s="217" t="s">
        <v>188</v>
      </c>
      <c r="C101" s="150" t="s">
        <v>18</v>
      </c>
      <c r="D101" s="142">
        <v>1</v>
      </c>
      <c r="E101" s="135">
        <v>25.66</v>
      </c>
      <c r="F101" s="135">
        <f t="shared" si="8"/>
        <v>32.08</v>
      </c>
      <c r="G101" s="159">
        <f>ROUND(F101*D101,2)</f>
        <v>32.08</v>
      </c>
      <c r="H101" s="139"/>
      <c r="I101" s="200" t="s">
        <v>233</v>
      </c>
      <c r="J101" s="89"/>
      <c r="K101" s="92"/>
      <c r="L101" s="90"/>
    </row>
    <row r="102" spans="1:12" s="91" customFormat="1" ht="12.75">
      <c r="A102" s="160" t="s">
        <v>307</v>
      </c>
      <c r="B102" s="217" t="s">
        <v>177</v>
      </c>
      <c r="C102" s="150" t="s">
        <v>18</v>
      </c>
      <c r="D102" s="142">
        <v>3</v>
      </c>
      <c r="E102" s="135">
        <v>24.19</v>
      </c>
      <c r="F102" s="135">
        <f t="shared" si="8"/>
        <v>30.24</v>
      </c>
      <c r="G102" s="159">
        <f t="shared" si="9"/>
        <v>90.72</v>
      </c>
      <c r="H102" s="139"/>
      <c r="I102" s="200" t="s">
        <v>231</v>
      </c>
      <c r="J102" s="89"/>
      <c r="K102" s="92"/>
      <c r="L102" s="90"/>
    </row>
    <row r="103" spans="1:12" s="91" customFormat="1" ht="12.75">
      <c r="A103" s="160" t="s">
        <v>308</v>
      </c>
      <c r="B103" s="217" t="s">
        <v>178</v>
      </c>
      <c r="C103" s="150" t="s">
        <v>18</v>
      </c>
      <c r="D103" s="142">
        <v>6</v>
      </c>
      <c r="E103" s="135">
        <v>30.57</v>
      </c>
      <c r="F103" s="135">
        <f t="shared" si="8"/>
        <v>38.21</v>
      </c>
      <c r="G103" s="159">
        <f t="shared" si="9"/>
        <v>229.26</v>
      </c>
      <c r="H103" s="139"/>
      <c r="I103" s="200" t="s">
        <v>232</v>
      </c>
      <c r="J103" s="89"/>
      <c r="K103" s="92"/>
      <c r="L103" s="90"/>
    </row>
    <row r="104" spans="1:12" s="91" customFormat="1" ht="12.75">
      <c r="A104" s="160" t="s">
        <v>309</v>
      </c>
      <c r="B104" s="217" t="s">
        <v>179</v>
      </c>
      <c r="C104" s="150" t="s">
        <v>12</v>
      </c>
      <c r="D104" s="142">
        <v>20</v>
      </c>
      <c r="E104" s="135">
        <v>10.86</v>
      </c>
      <c r="F104" s="135">
        <f t="shared" si="8"/>
        <v>13.58</v>
      </c>
      <c r="G104" s="159">
        <f t="shared" si="9"/>
        <v>271.6</v>
      </c>
      <c r="H104" s="139"/>
      <c r="I104" s="200" t="s">
        <v>234</v>
      </c>
      <c r="J104" s="89"/>
      <c r="K104" s="92"/>
      <c r="L104" s="90"/>
    </row>
    <row r="105" spans="1:12" s="91" customFormat="1" ht="12.75">
      <c r="A105" s="160" t="s">
        <v>310</v>
      </c>
      <c r="B105" s="217" t="s">
        <v>180</v>
      </c>
      <c r="C105" s="150" t="s">
        <v>12</v>
      </c>
      <c r="D105" s="142">
        <v>10</v>
      </c>
      <c r="E105" s="135">
        <v>13.73</v>
      </c>
      <c r="F105" s="135">
        <f t="shared" si="8"/>
        <v>17.16</v>
      </c>
      <c r="G105" s="159">
        <f t="shared" si="9"/>
        <v>171.6</v>
      </c>
      <c r="H105" s="139"/>
      <c r="I105" s="200" t="s">
        <v>235</v>
      </c>
      <c r="J105" s="89"/>
      <c r="K105" s="92"/>
      <c r="L105" s="90"/>
    </row>
    <row r="106" spans="1:12" s="91" customFormat="1" ht="12.75">
      <c r="A106" s="160" t="s">
        <v>311</v>
      </c>
      <c r="B106" s="217" t="s">
        <v>181</v>
      </c>
      <c r="C106" s="150" t="s">
        <v>12</v>
      </c>
      <c r="D106" s="142">
        <v>40</v>
      </c>
      <c r="E106" s="135">
        <v>24.5</v>
      </c>
      <c r="F106" s="135">
        <f t="shared" si="8"/>
        <v>30.63</v>
      </c>
      <c r="G106" s="159">
        <f t="shared" si="9"/>
        <v>1225.2</v>
      </c>
      <c r="H106" s="139"/>
      <c r="I106" s="200" t="s">
        <v>236</v>
      </c>
      <c r="J106" s="89"/>
      <c r="K106" s="92"/>
      <c r="L106" s="90"/>
    </row>
    <row r="107" spans="1:12" s="91" customFormat="1" ht="12.75">
      <c r="A107" s="160" t="s">
        <v>312</v>
      </c>
      <c r="B107" s="217" t="s">
        <v>184</v>
      </c>
      <c r="C107" s="150" t="s">
        <v>18</v>
      </c>
      <c r="D107" s="142">
        <v>4</v>
      </c>
      <c r="E107" s="135">
        <v>5.1</v>
      </c>
      <c r="F107" s="135">
        <f t="shared" si="8"/>
        <v>6.38</v>
      </c>
      <c r="G107" s="159">
        <f t="shared" si="9"/>
        <v>25.52</v>
      </c>
      <c r="H107" s="139"/>
      <c r="I107" s="200" t="s">
        <v>237</v>
      </c>
      <c r="J107" s="89"/>
      <c r="K107" s="92"/>
      <c r="L107" s="90"/>
    </row>
    <row r="108" spans="1:12" s="91" customFormat="1" ht="12.75">
      <c r="A108" s="160" t="s">
        <v>313</v>
      </c>
      <c r="B108" s="217" t="s">
        <v>183</v>
      </c>
      <c r="C108" s="150" t="s">
        <v>18</v>
      </c>
      <c r="D108" s="142">
        <v>4</v>
      </c>
      <c r="E108" s="135">
        <v>6.36</v>
      </c>
      <c r="F108" s="135">
        <f t="shared" si="8"/>
        <v>7.95</v>
      </c>
      <c r="G108" s="159">
        <f t="shared" si="9"/>
        <v>31.8</v>
      </c>
      <c r="H108" s="139"/>
      <c r="I108" s="200" t="s">
        <v>238</v>
      </c>
      <c r="J108" s="89"/>
      <c r="K108" s="92"/>
      <c r="L108" s="90"/>
    </row>
    <row r="109" spans="1:12" s="91" customFormat="1" ht="12.75">
      <c r="A109" s="160" t="s">
        <v>314</v>
      </c>
      <c r="B109" s="217" t="s">
        <v>182</v>
      </c>
      <c r="C109" s="150" t="s">
        <v>18</v>
      </c>
      <c r="D109" s="142">
        <v>4</v>
      </c>
      <c r="E109" s="135">
        <v>13.3</v>
      </c>
      <c r="F109" s="135">
        <f t="shared" si="8"/>
        <v>16.63</v>
      </c>
      <c r="G109" s="159">
        <f t="shared" si="9"/>
        <v>66.52</v>
      </c>
      <c r="H109" s="139"/>
      <c r="I109" s="200" t="s">
        <v>239</v>
      </c>
      <c r="J109" s="89"/>
      <c r="K109" s="92"/>
      <c r="L109" s="90"/>
    </row>
    <row r="110" spans="1:12" s="91" customFormat="1" ht="12.75">
      <c r="A110" s="160" t="s">
        <v>315</v>
      </c>
      <c r="B110" s="217" t="s">
        <v>185</v>
      </c>
      <c r="C110" s="150" t="s">
        <v>18</v>
      </c>
      <c r="D110" s="142">
        <v>3</v>
      </c>
      <c r="E110" s="135">
        <v>11.29</v>
      </c>
      <c r="F110" s="135">
        <f t="shared" si="8"/>
        <v>14.11</v>
      </c>
      <c r="G110" s="159">
        <f t="shared" si="9"/>
        <v>42.33</v>
      </c>
      <c r="H110" s="139"/>
      <c r="I110" s="200" t="s">
        <v>240</v>
      </c>
      <c r="J110" s="89"/>
      <c r="K110" s="92"/>
      <c r="L110" s="90"/>
    </row>
    <row r="111" spans="1:12" s="91" customFormat="1" ht="12.75">
      <c r="A111" s="160" t="s">
        <v>316</v>
      </c>
      <c r="B111" s="217" t="s">
        <v>186</v>
      </c>
      <c r="C111" s="150" t="s">
        <v>18</v>
      </c>
      <c r="D111" s="142">
        <v>2</v>
      </c>
      <c r="E111" s="135">
        <v>13.82</v>
      </c>
      <c r="F111" s="135">
        <f t="shared" si="8"/>
        <v>17.28</v>
      </c>
      <c r="G111" s="159">
        <f t="shared" si="9"/>
        <v>34.56</v>
      </c>
      <c r="H111" s="139"/>
      <c r="I111" s="200" t="s">
        <v>241</v>
      </c>
      <c r="J111" s="89"/>
      <c r="K111" s="92"/>
      <c r="L111" s="90"/>
    </row>
    <row r="112" spans="1:12" s="91" customFormat="1" ht="12.75">
      <c r="A112" s="160" t="s">
        <v>317</v>
      </c>
      <c r="B112" s="217" t="s">
        <v>187</v>
      </c>
      <c r="C112" s="150" t="s">
        <v>18</v>
      </c>
      <c r="D112" s="142">
        <v>3</v>
      </c>
      <c r="E112" s="135">
        <v>20.43</v>
      </c>
      <c r="F112" s="135">
        <f t="shared" si="8"/>
        <v>25.54</v>
      </c>
      <c r="G112" s="159">
        <f t="shared" si="9"/>
        <v>76.62</v>
      </c>
      <c r="H112" s="139"/>
      <c r="I112" s="200" t="s">
        <v>243</v>
      </c>
      <c r="J112" s="89"/>
      <c r="K112" s="92"/>
      <c r="L112" s="90"/>
    </row>
    <row r="113" spans="1:12" ht="12.75">
      <c r="A113" s="220"/>
      <c r="B113" s="221" t="s">
        <v>68</v>
      </c>
      <c r="C113" s="222"/>
      <c r="D113" s="223"/>
      <c r="E113" s="224"/>
      <c r="F113" s="224"/>
      <c r="G113" s="225">
        <f>SUM(G93:G112)</f>
        <v>7676.270000000003</v>
      </c>
      <c r="H113" s="137">
        <f>G113/G441</f>
        <v>0.00608654927218183</v>
      </c>
      <c r="J113" s="89"/>
      <c r="K113" s="82"/>
      <c r="L113" s="93"/>
    </row>
    <row r="114" spans="1:12" ht="12.75">
      <c r="A114" s="158">
        <v>15</v>
      </c>
      <c r="B114" s="143" t="s">
        <v>205</v>
      </c>
      <c r="C114" s="150"/>
      <c r="D114" s="142"/>
      <c r="E114" s="135"/>
      <c r="F114" s="135"/>
      <c r="G114" s="159"/>
      <c r="H114" s="137"/>
      <c r="J114" s="89"/>
      <c r="K114" s="82"/>
      <c r="L114" s="93"/>
    </row>
    <row r="115" spans="1:12" ht="12.75">
      <c r="A115" s="160" t="s">
        <v>56</v>
      </c>
      <c r="B115" s="201" t="s">
        <v>210</v>
      </c>
      <c r="C115" s="150" t="s">
        <v>35</v>
      </c>
      <c r="D115" s="142">
        <v>3</v>
      </c>
      <c r="E115" s="135">
        <v>327.28</v>
      </c>
      <c r="F115" s="135">
        <f aca="true" t="shared" si="10" ref="F115:F120">ROUND(E115*$J$1,2)</f>
        <v>409.1</v>
      </c>
      <c r="G115" s="159">
        <f aca="true" t="shared" si="11" ref="G115:G120">ROUND(F115*D115,2)</f>
        <v>1227.3</v>
      </c>
      <c r="H115" s="139"/>
      <c r="I115" s="200" t="s">
        <v>245</v>
      </c>
      <c r="J115" s="89"/>
      <c r="K115" s="82"/>
      <c r="L115" s="93"/>
    </row>
    <row r="116" spans="1:12" ht="22.5">
      <c r="A116" s="160" t="s">
        <v>55</v>
      </c>
      <c r="B116" s="201" t="s">
        <v>209</v>
      </c>
      <c r="C116" s="150" t="s">
        <v>35</v>
      </c>
      <c r="D116" s="142">
        <v>7</v>
      </c>
      <c r="E116" s="135">
        <v>478.68</v>
      </c>
      <c r="F116" s="135">
        <f t="shared" si="10"/>
        <v>598.35</v>
      </c>
      <c r="G116" s="159">
        <f t="shared" si="11"/>
        <v>4188.45</v>
      </c>
      <c r="H116" s="139"/>
      <c r="I116" s="200" t="s">
        <v>244</v>
      </c>
      <c r="J116" s="89"/>
      <c r="K116" s="82"/>
      <c r="L116" s="93"/>
    </row>
    <row r="117" spans="1:12" ht="12.75">
      <c r="A117" s="160" t="s">
        <v>57</v>
      </c>
      <c r="B117" s="201" t="s">
        <v>246</v>
      </c>
      <c r="C117" s="150" t="s">
        <v>35</v>
      </c>
      <c r="D117" s="142">
        <v>1</v>
      </c>
      <c r="E117" s="135">
        <v>807.24</v>
      </c>
      <c r="F117" s="135">
        <f t="shared" si="10"/>
        <v>1009.05</v>
      </c>
      <c r="G117" s="159">
        <f t="shared" si="11"/>
        <v>1009.05</v>
      </c>
      <c r="H117" s="139"/>
      <c r="I117" s="200" t="s">
        <v>247</v>
      </c>
      <c r="J117" s="89"/>
      <c r="K117" s="82"/>
      <c r="L117" s="93"/>
    </row>
    <row r="118" spans="1:12" ht="22.5">
      <c r="A118" s="160" t="s">
        <v>115</v>
      </c>
      <c r="B118" s="201" t="s">
        <v>207</v>
      </c>
      <c r="C118" s="150" t="s">
        <v>35</v>
      </c>
      <c r="D118" s="142">
        <v>7</v>
      </c>
      <c r="E118" s="135">
        <v>243.85</v>
      </c>
      <c r="F118" s="135">
        <f t="shared" si="10"/>
        <v>304.81</v>
      </c>
      <c r="G118" s="159">
        <f t="shared" si="11"/>
        <v>2133.67</v>
      </c>
      <c r="H118" s="139"/>
      <c r="I118" s="200" t="s">
        <v>206</v>
      </c>
      <c r="J118" s="89"/>
      <c r="K118" s="82"/>
      <c r="L118" s="93"/>
    </row>
    <row r="119" spans="1:12" ht="22.5">
      <c r="A119" s="160" t="s">
        <v>116</v>
      </c>
      <c r="B119" s="201" t="s">
        <v>208</v>
      </c>
      <c r="C119" s="150" t="s">
        <v>35</v>
      </c>
      <c r="D119" s="142">
        <v>6</v>
      </c>
      <c r="E119" s="135">
        <v>170.73</v>
      </c>
      <c r="F119" s="135">
        <f t="shared" si="10"/>
        <v>213.41</v>
      </c>
      <c r="G119" s="159">
        <f t="shared" si="11"/>
        <v>1280.46</v>
      </c>
      <c r="H119" s="139"/>
      <c r="I119" s="200" t="s">
        <v>206</v>
      </c>
      <c r="J119" s="89"/>
      <c r="K119" s="82"/>
      <c r="L119" s="93"/>
    </row>
    <row r="120" spans="1:12" ht="12.75">
      <c r="A120" s="160" t="s">
        <v>117</v>
      </c>
      <c r="B120" s="201" t="s">
        <v>211</v>
      </c>
      <c r="C120" s="150" t="s">
        <v>35</v>
      </c>
      <c r="D120" s="142">
        <v>6</v>
      </c>
      <c r="E120" s="135">
        <v>218.88</v>
      </c>
      <c r="F120" s="135">
        <f t="shared" si="10"/>
        <v>273.6</v>
      </c>
      <c r="G120" s="159">
        <f t="shared" si="11"/>
        <v>1641.6</v>
      </c>
      <c r="H120" s="139"/>
      <c r="I120" s="200" t="s">
        <v>248</v>
      </c>
      <c r="J120" s="89"/>
      <c r="K120" s="82"/>
      <c r="L120" s="93"/>
    </row>
    <row r="121" spans="1:12" ht="12.75">
      <c r="A121" s="166"/>
      <c r="B121" s="167" t="s">
        <v>68</v>
      </c>
      <c r="C121" s="168"/>
      <c r="D121" s="197"/>
      <c r="E121" s="170"/>
      <c r="F121" s="170"/>
      <c r="G121" s="171">
        <f>SUM(G115:G120)</f>
        <v>11480.53</v>
      </c>
      <c r="H121" s="137">
        <f>G121/G441</f>
        <v>0.009102964267249802</v>
      </c>
      <c r="I121" s="200"/>
      <c r="J121" s="89"/>
      <c r="K121" s="82"/>
      <c r="L121" s="93"/>
    </row>
    <row r="122" spans="1:12" s="91" customFormat="1" ht="12.75">
      <c r="A122" s="163">
        <v>16</v>
      </c>
      <c r="B122" s="138" t="s">
        <v>75</v>
      </c>
      <c r="C122" s="140"/>
      <c r="D122" s="142"/>
      <c r="E122" s="135"/>
      <c r="F122" s="135"/>
      <c r="G122" s="162"/>
      <c r="H122" s="139"/>
      <c r="I122" s="200"/>
      <c r="J122" s="89"/>
      <c r="K122" s="92"/>
      <c r="L122" s="90"/>
    </row>
    <row r="123" spans="1:12" ht="12.75">
      <c r="A123" s="160" t="s">
        <v>60</v>
      </c>
      <c r="B123" s="201" t="s">
        <v>62</v>
      </c>
      <c r="C123" s="150" t="s">
        <v>12</v>
      </c>
      <c r="D123" s="142">
        <v>50</v>
      </c>
      <c r="E123" s="135">
        <v>24.5</v>
      </c>
      <c r="F123" s="135">
        <f>ROUND(E123*$J$1,2)</f>
        <v>30.63</v>
      </c>
      <c r="G123" s="159">
        <f>ROUND(F123*D123,2)</f>
        <v>1531.5</v>
      </c>
      <c r="H123" s="139"/>
      <c r="I123" s="200" t="s">
        <v>236</v>
      </c>
      <c r="J123" s="89"/>
      <c r="K123" s="82"/>
      <c r="L123" s="90"/>
    </row>
    <row r="124" spans="1:12" ht="12.75">
      <c r="A124" s="160" t="s">
        <v>100</v>
      </c>
      <c r="B124" s="201" t="s">
        <v>13</v>
      </c>
      <c r="C124" s="150" t="s">
        <v>14</v>
      </c>
      <c r="D124" s="142">
        <v>12</v>
      </c>
      <c r="E124" s="135">
        <v>18.37</v>
      </c>
      <c r="F124" s="135">
        <f>ROUND(E124*$J$1,2)</f>
        <v>22.96</v>
      </c>
      <c r="G124" s="159">
        <f>ROUND(F124*D124,2)</f>
        <v>275.52</v>
      </c>
      <c r="H124" s="139"/>
      <c r="I124" s="200" t="s">
        <v>230</v>
      </c>
      <c r="J124" s="89"/>
      <c r="K124" s="82"/>
      <c r="L124" s="83"/>
    </row>
    <row r="125" spans="1:12" s="91" customFormat="1" ht="12.75">
      <c r="A125" s="160" t="s">
        <v>101</v>
      </c>
      <c r="B125" s="211" t="s">
        <v>85</v>
      </c>
      <c r="C125" s="219" t="s">
        <v>35</v>
      </c>
      <c r="D125" s="142">
        <v>4</v>
      </c>
      <c r="E125" s="135">
        <v>218.02</v>
      </c>
      <c r="F125" s="135">
        <f>ROUND(E125*$J$1,2)</f>
        <v>272.53</v>
      </c>
      <c r="G125" s="159">
        <f>ROUND(F125*D125,2)</f>
        <v>1090.12</v>
      </c>
      <c r="H125" s="139"/>
      <c r="I125" s="200" t="s">
        <v>249</v>
      </c>
      <c r="J125" s="89"/>
      <c r="K125" s="92"/>
      <c r="L125" s="90"/>
    </row>
    <row r="126" spans="1:12" ht="12.75">
      <c r="A126" s="166"/>
      <c r="B126" s="167" t="s">
        <v>68</v>
      </c>
      <c r="C126" s="168"/>
      <c r="D126" s="197"/>
      <c r="E126" s="170"/>
      <c r="F126" s="170"/>
      <c r="G126" s="171">
        <f>SUM(G123:G125)</f>
        <v>2897.14</v>
      </c>
      <c r="H126" s="137">
        <f>G126/G441</f>
        <v>0.002297155435961588</v>
      </c>
      <c r="J126" s="89"/>
      <c r="K126" s="82"/>
      <c r="L126" s="93"/>
    </row>
    <row r="127" spans="1:12" ht="12.75">
      <c r="A127" s="163">
        <v>17</v>
      </c>
      <c r="B127" s="143" t="s">
        <v>143</v>
      </c>
      <c r="C127" s="150"/>
      <c r="D127" s="142"/>
      <c r="E127" s="135"/>
      <c r="F127" s="135"/>
      <c r="G127" s="159"/>
      <c r="H127" s="139"/>
      <c r="I127" s="200"/>
      <c r="J127" s="89"/>
      <c r="K127" s="82"/>
      <c r="L127" s="90"/>
    </row>
    <row r="128" spans="1:12" ht="12.75">
      <c r="A128" s="242"/>
      <c r="B128" s="143" t="s">
        <v>328</v>
      </c>
      <c r="C128" s="150"/>
      <c r="D128" s="142"/>
      <c r="E128" s="135"/>
      <c r="F128" s="135"/>
      <c r="G128" s="159"/>
      <c r="H128" s="139"/>
      <c r="I128" s="200"/>
      <c r="J128" s="89"/>
      <c r="K128" s="82"/>
      <c r="L128" s="90"/>
    </row>
    <row r="129" spans="1:12" ht="12.75">
      <c r="A129" s="242"/>
      <c r="B129" s="248" t="s">
        <v>329</v>
      </c>
      <c r="C129" s="150"/>
      <c r="D129" s="142"/>
      <c r="E129" s="135"/>
      <c r="F129" s="135"/>
      <c r="G129" s="159"/>
      <c r="H129" s="139"/>
      <c r="I129" s="200"/>
      <c r="J129" s="89"/>
      <c r="K129" s="82"/>
      <c r="L129" s="90"/>
    </row>
    <row r="130" spans="1:12" ht="12.75">
      <c r="A130" s="242" t="s">
        <v>102</v>
      </c>
      <c r="B130" s="248" t="s">
        <v>330</v>
      </c>
      <c r="C130" s="150" t="s">
        <v>12</v>
      </c>
      <c r="D130" s="142">
        <v>20</v>
      </c>
      <c r="E130" s="135">
        <v>19.67</v>
      </c>
      <c r="F130" s="135">
        <f aca="true" t="shared" si="12" ref="F130:F193">ROUND(E130*$J$1,2)</f>
        <v>24.59</v>
      </c>
      <c r="G130" s="159">
        <f aca="true" t="shared" si="13" ref="G130:G193">ROUND(F130*D130,2)</f>
        <v>491.8</v>
      </c>
      <c r="H130" s="139"/>
      <c r="I130" s="200"/>
      <c r="J130" s="89"/>
      <c r="K130" s="82"/>
      <c r="L130" s="90"/>
    </row>
    <row r="131" spans="1:12" s="123" customFormat="1" ht="12.75">
      <c r="A131" s="242" t="s">
        <v>103</v>
      </c>
      <c r="B131" s="248" t="s">
        <v>331</v>
      </c>
      <c r="C131" s="150" t="s">
        <v>12</v>
      </c>
      <c r="D131" s="142">
        <v>30</v>
      </c>
      <c r="E131" s="135">
        <v>44.88</v>
      </c>
      <c r="F131" s="135">
        <f t="shared" si="12"/>
        <v>56.1</v>
      </c>
      <c r="G131" s="159">
        <f t="shared" si="13"/>
        <v>1683</v>
      </c>
      <c r="H131" s="139"/>
      <c r="I131" s="200"/>
      <c r="J131" s="124"/>
      <c r="K131" s="125"/>
      <c r="L131" s="126"/>
    </row>
    <row r="132" spans="1:12" s="123" customFormat="1" ht="12.75">
      <c r="A132" s="242" t="s">
        <v>529</v>
      </c>
      <c r="B132" s="248" t="s">
        <v>332</v>
      </c>
      <c r="C132" s="250" t="s">
        <v>12</v>
      </c>
      <c r="D132" s="142">
        <v>5</v>
      </c>
      <c r="E132" s="135">
        <v>36.52</v>
      </c>
      <c r="F132" s="135">
        <f t="shared" si="12"/>
        <v>45.65</v>
      </c>
      <c r="G132" s="159">
        <f t="shared" si="13"/>
        <v>228.25</v>
      </c>
      <c r="H132" s="139"/>
      <c r="I132" s="200"/>
      <c r="J132" s="124"/>
      <c r="K132" s="125"/>
      <c r="L132" s="126"/>
    </row>
    <row r="133" spans="1:12" ht="12.75">
      <c r="A133" s="242"/>
      <c r="B133" s="251" t="s">
        <v>333</v>
      </c>
      <c r="C133" s="250"/>
      <c r="D133" s="142"/>
      <c r="E133" s="135"/>
      <c r="F133" s="135"/>
      <c r="G133" s="159"/>
      <c r="H133" s="139"/>
      <c r="I133" s="200"/>
      <c r="J133" s="89"/>
      <c r="K133" s="82"/>
      <c r="L133" s="90"/>
    </row>
    <row r="134" spans="1:12" s="123" customFormat="1" ht="12.75">
      <c r="A134" s="242" t="s">
        <v>530</v>
      </c>
      <c r="B134" s="248" t="s">
        <v>331</v>
      </c>
      <c r="C134" s="250" t="s">
        <v>12</v>
      </c>
      <c r="D134" s="142">
        <v>45</v>
      </c>
      <c r="E134" s="135">
        <v>54.83</v>
      </c>
      <c r="F134" s="135">
        <f t="shared" si="12"/>
        <v>68.54</v>
      </c>
      <c r="G134" s="159">
        <f t="shared" si="13"/>
        <v>3084.3</v>
      </c>
      <c r="H134" s="139"/>
      <c r="I134" s="200"/>
      <c r="J134" s="124"/>
      <c r="K134" s="125"/>
      <c r="L134" s="90"/>
    </row>
    <row r="135" spans="1:12" s="123" customFormat="1" ht="12.75">
      <c r="A135" s="242"/>
      <c r="B135" s="248" t="s">
        <v>334</v>
      </c>
      <c r="C135" s="250"/>
      <c r="D135" s="142"/>
      <c r="E135" s="135"/>
      <c r="F135" s="135"/>
      <c r="G135" s="159"/>
      <c r="H135" s="139"/>
      <c r="I135" s="200"/>
      <c r="J135" s="124"/>
      <c r="K135" s="125"/>
      <c r="L135" s="90"/>
    </row>
    <row r="136" spans="1:12" s="127" customFormat="1" ht="12.75">
      <c r="A136" s="242" t="s">
        <v>531</v>
      </c>
      <c r="B136" s="248" t="s">
        <v>331</v>
      </c>
      <c r="C136" s="250" t="s">
        <v>12</v>
      </c>
      <c r="D136" s="142">
        <v>45</v>
      </c>
      <c r="E136" s="135">
        <v>54.83</v>
      </c>
      <c r="F136" s="135">
        <f t="shared" si="12"/>
        <v>68.54</v>
      </c>
      <c r="G136" s="159">
        <f t="shared" si="13"/>
        <v>3084.3</v>
      </c>
      <c r="H136" s="139"/>
      <c r="I136" s="200"/>
      <c r="J136" s="124"/>
      <c r="K136" s="121"/>
      <c r="L136" s="90"/>
    </row>
    <row r="137" spans="1:12" s="119" customFormat="1" ht="22.5">
      <c r="A137" s="242"/>
      <c r="B137" s="252" t="s">
        <v>335</v>
      </c>
      <c r="C137" s="253"/>
      <c r="D137" s="215"/>
      <c r="E137" s="216"/>
      <c r="F137" s="135"/>
      <c r="G137" s="159"/>
      <c r="H137" s="254"/>
      <c r="I137" s="207"/>
      <c r="J137" s="116"/>
      <c r="K137" s="117"/>
      <c r="L137" s="255"/>
    </row>
    <row r="138" spans="1:12" ht="12.75">
      <c r="A138" s="242" t="s">
        <v>532</v>
      </c>
      <c r="B138" s="248" t="s">
        <v>331</v>
      </c>
      <c r="C138" s="250" t="s">
        <v>12</v>
      </c>
      <c r="D138" s="142">
        <v>45</v>
      </c>
      <c r="E138" s="135">
        <v>54.83</v>
      </c>
      <c r="F138" s="135">
        <f t="shared" si="12"/>
        <v>68.54</v>
      </c>
      <c r="G138" s="159">
        <f t="shared" si="13"/>
        <v>3084.3</v>
      </c>
      <c r="H138" s="139"/>
      <c r="I138" s="200"/>
      <c r="J138" s="89"/>
      <c r="K138" s="82"/>
      <c r="L138" s="90"/>
    </row>
    <row r="139" spans="1:12" ht="22.5">
      <c r="A139" s="242"/>
      <c r="B139" s="251" t="s">
        <v>336</v>
      </c>
      <c r="C139" s="250"/>
      <c r="D139" s="142"/>
      <c r="E139" s="135"/>
      <c r="F139" s="135"/>
      <c r="G139" s="159"/>
      <c r="H139" s="139"/>
      <c r="I139" s="200"/>
      <c r="J139" s="89"/>
      <c r="K139" s="82"/>
      <c r="L139" s="90"/>
    </row>
    <row r="140" spans="1:12" s="91" customFormat="1" ht="12.75">
      <c r="A140" s="242" t="s">
        <v>533</v>
      </c>
      <c r="B140" s="248" t="s">
        <v>331</v>
      </c>
      <c r="C140" s="250" t="s">
        <v>12</v>
      </c>
      <c r="D140" s="142">
        <v>45</v>
      </c>
      <c r="E140" s="135">
        <v>54.83</v>
      </c>
      <c r="F140" s="135">
        <f t="shared" si="12"/>
        <v>68.54</v>
      </c>
      <c r="G140" s="159">
        <f t="shared" si="13"/>
        <v>3084.3</v>
      </c>
      <c r="H140" s="139"/>
      <c r="I140" s="200"/>
      <c r="J140" s="89"/>
      <c r="K140" s="92"/>
      <c r="L140" s="90"/>
    </row>
    <row r="141" spans="1:12" ht="12.75">
      <c r="A141" s="242"/>
      <c r="B141" s="248" t="s">
        <v>337</v>
      </c>
      <c r="C141" s="150"/>
      <c r="D141" s="142"/>
      <c r="E141" s="135"/>
      <c r="F141" s="135"/>
      <c r="G141" s="159"/>
      <c r="H141" s="139"/>
      <c r="I141" s="200"/>
      <c r="J141" s="89"/>
      <c r="K141" s="82"/>
      <c r="L141" s="83"/>
    </row>
    <row r="142" spans="1:12" ht="12.75">
      <c r="A142" s="242" t="s">
        <v>534</v>
      </c>
      <c r="B142" s="248" t="s">
        <v>338</v>
      </c>
      <c r="C142" s="150" t="s">
        <v>12</v>
      </c>
      <c r="D142" s="142">
        <v>1</v>
      </c>
      <c r="E142" s="135">
        <v>4.95</v>
      </c>
      <c r="F142" s="135">
        <f t="shared" si="12"/>
        <v>6.19</v>
      </c>
      <c r="G142" s="159">
        <f t="shared" si="13"/>
        <v>6.19</v>
      </c>
      <c r="H142" s="139"/>
      <c r="I142" s="200"/>
      <c r="J142" s="89"/>
      <c r="K142" s="82"/>
      <c r="L142" s="83"/>
    </row>
    <row r="143" spans="1:12" ht="12.75">
      <c r="A143" s="242"/>
      <c r="B143" s="248" t="s">
        <v>339</v>
      </c>
      <c r="C143" s="150"/>
      <c r="D143" s="142"/>
      <c r="E143" s="135"/>
      <c r="F143" s="135"/>
      <c r="G143" s="159"/>
      <c r="H143" s="139"/>
      <c r="I143" s="200"/>
      <c r="J143" s="89"/>
      <c r="K143" s="82"/>
      <c r="L143" s="90"/>
    </row>
    <row r="144" spans="1:12" ht="12.75">
      <c r="A144" s="242" t="s">
        <v>535</v>
      </c>
      <c r="B144" s="248" t="s">
        <v>338</v>
      </c>
      <c r="C144" s="150" t="s">
        <v>12</v>
      </c>
      <c r="D144" s="142">
        <v>5</v>
      </c>
      <c r="E144" s="135">
        <v>4.95</v>
      </c>
      <c r="F144" s="135">
        <f t="shared" si="12"/>
        <v>6.19</v>
      </c>
      <c r="G144" s="159">
        <f t="shared" si="13"/>
        <v>30.95</v>
      </c>
      <c r="H144" s="139"/>
      <c r="I144" s="200"/>
      <c r="J144" s="89"/>
      <c r="K144" s="82"/>
      <c r="L144" s="90"/>
    </row>
    <row r="145" spans="1:12" ht="12.75">
      <c r="A145" s="242"/>
      <c r="B145" s="248" t="s">
        <v>340</v>
      </c>
      <c r="C145" s="150"/>
      <c r="D145" s="142"/>
      <c r="E145" s="135"/>
      <c r="F145" s="135"/>
      <c r="G145" s="159"/>
      <c r="H145" s="139"/>
      <c r="I145" s="200"/>
      <c r="J145" s="89"/>
      <c r="K145" s="82"/>
      <c r="L145" s="90"/>
    </row>
    <row r="146" spans="1:12" ht="12.75">
      <c r="A146" s="242" t="s">
        <v>536</v>
      </c>
      <c r="B146" s="248" t="s">
        <v>338</v>
      </c>
      <c r="C146" s="150" t="s">
        <v>12</v>
      </c>
      <c r="D146" s="142">
        <v>5</v>
      </c>
      <c r="E146" s="135">
        <v>4.95</v>
      </c>
      <c r="F146" s="135">
        <f t="shared" si="12"/>
        <v>6.19</v>
      </c>
      <c r="G146" s="159">
        <f t="shared" si="13"/>
        <v>30.95</v>
      </c>
      <c r="H146" s="139"/>
      <c r="I146" s="200"/>
      <c r="J146" s="89"/>
      <c r="K146" s="82"/>
      <c r="L146" s="90"/>
    </row>
    <row r="147" spans="1:12" s="91" customFormat="1" ht="12.75">
      <c r="A147" s="242" t="s">
        <v>537</v>
      </c>
      <c r="B147" s="248" t="s">
        <v>341</v>
      </c>
      <c r="C147" s="227" t="s">
        <v>12</v>
      </c>
      <c r="D147" s="241">
        <v>20</v>
      </c>
      <c r="E147" s="135">
        <v>16.55</v>
      </c>
      <c r="F147" s="135">
        <f t="shared" si="12"/>
        <v>20.69</v>
      </c>
      <c r="G147" s="159">
        <f t="shared" si="13"/>
        <v>413.8</v>
      </c>
      <c r="H147" s="139"/>
      <c r="I147" s="200"/>
      <c r="J147" s="89"/>
      <c r="K147" s="92"/>
      <c r="L147" s="90"/>
    </row>
    <row r="148" spans="1:12" ht="12.75">
      <c r="A148" s="242"/>
      <c r="B148" s="248" t="s">
        <v>342</v>
      </c>
      <c r="C148" s="150"/>
      <c r="D148" s="142"/>
      <c r="E148" s="135"/>
      <c r="F148" s="135"/>
      <c r="G148" s="159"/>
      <c r="H148" s="139"/>
      <c r="I148" s="200"/>
      <c r="J148" s="89"/>
      <c r="K148" s="82"/>
      <c r="L148" s="93"/>
    </row>
    <row r="149" spans="1:12" s="91" customFormat="1" ht="12.75">
      <c r="A149" s="242" t="s">
        <v>538</v>
      </c>
      <c r="B149" s="248" t="s">
        <v>343</v>
      </c>
      <c r="C149" s="150" t="s">
        <v>18</v>
      </c>
      <c r="D149" s="142">
        <v>50</v>
      </c>
      <c r="E149" s="135">
        <v>5.08</v>
      </c>
      <c r="F149" s="135">
        <f t="shared" si="12"/>
        <v>6.35</v>
      </c>
      <c r="G149" s="159">
        <f t="shared" si="13"/>
        <v>317.5</v>
      </c>
      <c r="H149" s="139"/>
      <c r="I149" s="200"/>
      <c r="J149" s="89"/>
      <c r="K149" s="92"/>
      <c r="L149" s="90"/>
    </row>
    <row r="150" spans="1:12" s="91" customFormat="1" ht="12.75">
      <c r="A150" s="242"/>
      <c r="B150" s="248" t="s">
        <v>344</v>
      </c>
      <c r="C150" s="150"/>
      <c r="D150" s="142"/>
      <c r="E150" s="135"/>
      <c r="F150" s="135"/>
      <c r="G150" s="159"/>
      <c r="H150" s="139"/>
      <c r="I150" s="200"/>
      <c r="J150" s="89"/>
      <c r="K150" s="92"/>
      <c r="L150" s="90"/>
    </row>
    <row r="151" spans="1:12" ht="12.75">
      <c r="A151" s="242" t="s">
        <v>539</v>
      </c>
      <c r="B151" s="248" t="s">
        <v>345</v>
      </c>
      <c r="C151" s="150" t="s">
        <v>18</v>
      </c>
      <c r="D151" s="142">
        <v>50</v>
      </c>
      <c r="E151" s="135">
        <v>8.7</v>
      </c>
      <c r="F151" s="135">
        <f t="shared" si="12"/>
        <v>10.88</v>
      </c>
      <c r="G151" s="159">
        <f t="shared" si="13"/>
        <v>544</v>
      </c>
      <c r="H151" s="139"/>
      <c r="I151" s="200"/>
      <c r="J151" s="89"/>
      <c r="K151" s="82"/>
      <c r="L151" s="90"/>
    </row>
    <row r="152" spans="1:12" ht="12.75">
      <c r="A152" s="242"/>
      <c r="B152" s="248" t="s">
        <v>346</v>
      </c>
      <c r="C152" s="150"/>
      <c r="D152" s="142"/>
      <c r="E152" s="135"/>
      <c r="F152" s="135"/>
      <c r="G152" s="159"/>
      <c r="H152" s="139"/>
      <c r="I152" s="200"/>
      <c r="J152" s="89"/>
      <c r="K152" s="82"/>
      <c r="L152" s="90"/>
    </row>
    <row r="153" spans="1:12" ht="12.75">
      <c r="A153" s="242" t="s">
        <v>540</v>
      </c>
      <c r="B153" s="248" t="s">
        <v>338</v>
      </c>
      <c r="C153" s="150" t="s">
        <v>18</v>
      </c>
      <c r="D153" s="142">
        <v>2</v>
      </c>
      <c r="E153" s="135">
        <v>16.69</v>
      </c>
      <c r="F153" s="135">
        <f t="shared" si="12"/>
        <v>20.86</v>
      </c>
      <c r="G153" s="159">
        <f t="shared" si="13"/>
        <v>41.72</v>
      </c>
      <c r="H153" s="139"/>
      <c r="I153" s="200"/>
      <c r="J153" s="89"/>
      <c r="K153" s="82"/>
      <c r="L153" s="90"/>
    </row>
    <row r="154" spans="1:12" ht="12.75">
      <c r="A154" s="242" t="s">
        <v>541</v>
      </c>
      <c r="B154" s="248" t="s">
        <v>347</v>
      </c>
      <c r="C154" s="150" t="s">
        <v>18</v>
      </c>
      <c r="D154" s="142">
        <v>1</v>
      </c>
      <c r="E154" s="135">
        <v>9.44</v>
      </c>
      <c r="F154" s="135">
        <f t="shared" si="12"/>
        <v>11.8</v>
      </c>
      <c r="G154" s="159">
        <f t="shared" si="13"/>
        <v>11.8</v>
      </c>
      <c r="H154" s="139"/>
      <c r="I154" s="200"/>
      <c r="J154" s="89"/>
      <c r="K154" s="82"/>
      <c r="L154" s="90"/>
    </row>
    <row r="155" spans="1:12" s="91" customFormat="1" ht="12.75">
      <c r="A155" s="242" t="s">
        <v>542</v>
      </c>
      <c r="B155" s="248" t="s">
        <v>348</v>
      </c>
      <c r="C155" s="150" t="s">
        <v>18</v>
      </c>
      <c r="D155" s="241">
        <v>4</v>
      </c>
      <c r="E155" s="135">
        <v>9.98</v>
      </c>
      <c r="F155" s="135">
        <f t="shared" si="12"/>
        <v>12.48</v>
      </c>
      <c r="G155" s="159">
        <f t="shared" si="13"/>
        <v>49.92</v>
      </c>
      <c r="H155" s="139"/>
      <c r="I155" s="200"/>
      <c r="J155" s="89"/>
      <c r="K155" s="92"/>
      <c r="L155" s="90"/>
    </row>
    <row r="156" spans="1:12" ht="12.75">
      <c r="A156" s="242" t="s">
        <v>543</v>
      </c>
      <c r="B156" s="248" t="s">
        <v>349</v>
      </c>
      <c r="C156" s="150" t="s">
        <v>18</v>
      </c>
      <c r="D156" s="142">
        <v>4</v>
      </c>
      <c r="E156" s="135">
        <v>11.61</v>
      </c>
      <c r="F156" s="135">
        <f t="shared" si="12"/>
        <v>14.51</v>
      </c>
      <c r="G156" s="159">
        <f t="shared" si="13"/>
        <v>58.04</v>
      </c>
      <c r="H156" s="139"/>
      <c r="I156" s="200"/>
      <c r="J156" s="89"/>
      <c r="K156" s="82"/>
      <c r="L156" s="93"/>
    </row>
    <row r="157" spans="1:12" s="91" customFormat="1" ht="12.75">
      <c r="A157" s="242" t="s">
        <v>544</v>
      </c>
      <c r="B157" s="248" t="s">
        <v>350</v>
      </c>
      <c r="C157" s="150" t="s">
        <v>18</v>
      </c>
      <c r="D157" s="142">
        <v>8</v>
      </c>
      <c r="E157" s="135">
        <v>15.19</v>
      </c>
      <c r="F157" s="135">
        <f t="shared" si="12"/>
        <v>18.99</v>
      </c>
      <c r="G157" s="159">
        <f t="shared" si="13"/>
        <v>151.92</v>
      </c>
      <c r="H157" s="139"/>
      <c r="I157" s="200"/>
      <c r="J157" s="89"/>
      <c r="K157" s="92"/>
      <c r="L157" s="90"/>
    </row>
    <row r="158" spans="1:12" s="91" customFormat="1" ht="12.75">
      <c r="A158" s="242" t="s">
        <v>545</v>
      </c>
      <c r="B158" s="248" t="s">
        <v>351</v>
      </c>
      <c r="C158" s="150" t="s">
        <v>18</v>
      </c>
      <c r="D158" s="142">
        <v>10</v>
      </c>
      <c r="E158" s="135">
        <v>22.73</v>
      </c>
      <c r="F158" s="135">
        <f t="shared" si="12"/>
        <v>28.41</v>
      </c>
      <c r="G158" s="159">
        <f t="shared" si="13"/>
        <v>284.1</v>
      </c>
      <c r="H158" s="139"/>
      <c r="I158" s="200"/>
      <c r="J158" s="89"/>
      <c r="K158" s="92"/>
      <c r="L158" s="90"/>
    </row>
    <row r="159" spans="1:12" ht="12.75">
      <c r="A159" s="242"/>
      <c r="B159" s="256" t="s">
        <v>352</v>
      </c>
      <c r="C159" s="150"/>
      <c r="D159" s="142"/>
      <c r="E159" s="135"/>
      <c r="F159" s="135"/>
      <c r="G159" s="159"/>
      <c r="H159" s="139"/>
      <c r="I159" s="200"/>
      <c r="J159" s="89"/>
      <c r="K159" s="82"/>
      <c r="L159" s="90"/>
    </row>
    <row r="160" spans="1:12" ht="12.75">
      <c r="A160" s="242" t="s">
        <v>546</v>
      </c>
      <c r="B160" s="248" t="s">
        <v>349</v>
      </c>
      <c r="C160" s="150" t="s">
        <v>18</v>
      </c>
      <c r="D160" s="142">
        <v>9</v>
      </c>
      <c r="E160" s="135">
        <v>14.01</v>
      </c>
      <c r="F160" s="135">
        <f t="shared" si="12"/>
        <v>17.51</v>
      </c>
      <c r="G160" s="159">
        <f t="shared" si="13"/>
        <v>157.59</v>
      </c>
      <c r="H160" s="139"/>
      <c r="I160" s="200"/>
      <c r="J160" s="89"/>
      <c r="K160" s="82"/>
      <c r="L160" s="90"/>
    </row>
    <row r="161" spans="1:12" ht="12.75">
      <c r="A161" s="242" t="s">
        <v>547</v>
      </c>
      <c r="B161" s="248" t="s">
        <v>351</v>
      </c>
      <c r="C161" s="150" t="s">
        <v>18</v>
      </c>
      <c r="D161" s="142">
        <v>1</v>
      </c>
      <c r="E161" s="135">
        <v>14.01</v>
      </c>
      <c r="F161" s="135">
        <f t="shared" si="12"/>
        <v>17.51</v>
      </c>
      <c r="G161" s="159">
        <f t="shared" si="13"/>
        <v>17.51</v>
      </c>
      <c r="H161" s="139"/>
      <c r="I161" s="200"/>
      <c r="J161" s="89"/>
      <c r="K161" s="82"/>
      <c r="L161" s="90"/>
    </row>
    <row r="162" spans="1:12" ht="12.75">
      <c r="A162" s="242" t="s">
        <v>548</v>
      </c>
      <c r="B162" s="248" t="s">
        <v>353</v>
      </c>
      <c r="C162" s="150" t="s">
        <v>12</v>
      </c>
      <c r="D162" s="142">
        <v>10</v>
      </c>
      <c r="E162" s="135">
        <v>5.65</v>
      </c>
      <c r="F162" s="135">
        <f t="shared" si="12"/>
        <v>7.06</v>
      </c>
      <c r="G162" s="159">
        <f t="shared" si="13"/>
        <v>70.6</v>
      </c>
      <c r="H162" s="139"/>
      <c r="I162" s="200"/>
      <c r="J162" s="89"/>
      <c r="K162" s="82"/>
      <c r="L162" s="90"/>
    </row>
    <row r="163" spans="1:12" s="260" customFormat="1" ht="12.75">
      <c r="A163" s="242" t="s">
        <v>549</v>
      </c>
      <c r="B163" s="261" t="s">
        <v>354</v>
      </c>
      <c r="C163" s="257" t="s">
        <v>18</v>
      </c>
      <c r="D163" s="258">
        <v>1</v>
      </c>
      <c r="E163" s="216">
        <v>1700.49</v>
      </c>
      <c r="F163" s="135">
        <f t="shared" si="12"/>
        <v>2125.61</v>
      </c>
      <c r="G163" s="159">
        <f t="shared" si="13"/>
        <v>2125.61</v>
      </c>
      <c r="H163" s="254"/>
      <c r="I163" s="207"/>
      <c r="J163" s="116"/>
      <c r="K163" s="259"/>
      <c r="L163" s="255"/>
    </row>
    <row r="164" spans="1:12" s="119" customFormat="1" ht="12.75">
      <c r="A164" s="242" t="s">
        <v>550</v>
      </c>
      <c r="B164" s="261" t="s">
        <v>355</v>
      </c>
      <c r="C164" s="257" t="s">
        <v>18</v>
      </c>
      <c r="D164" s="215">
        <v>1</v>
      </c>
      <c r="E164" s="216">
        <v>193.07</v>
      </c>
      <c r="F164" s="135">
        <f t="shared" si="12"/>
        <v>241.34</v>
      </c>
      <c r="G164" s="159">
        <f t="shared" si="13"/>
        <v>241.34</v>
      </c>
      <c r="H164" s="254"/>
      <c r="I164" s="207"/>
      <c r="J164" s="116"/>
      <c r="K164" s="117"/>
      <c r="L164" s="118"/>
    </row>
    <row r="165" spans="1:12" s="260" customFormat="1" ht="12.75">
      <c r="A165" s="242" t="s">
        <v>551</v>
      </c>
      <c r="B165" s="261" t="s">
        <v>356</v>
      </c>
      <c r="C165" s="257" t="s">
        <v>18</v>
      </c>
      <c r="D165" s="215">
        <v>3</v>
      </c>
      <c r="E165" s="216">
        <v>125.92</v>
      </c>
      <c r="F165" s="135">
        <f t="shared" si="12"/>
        <v>157.4</v>
      </c>
      <c r="G165" s="159">
        <f t="shared" si="13"/>
        <v>472.2</v>
      </c>
      <c r="H165" s="254"/>
      <c r="I165" s="207"/>
      <c r="J165" s="116"/>
      <c r="K165" s="259"/>
      <c r="L165" s="255"/>
    </row>
    <row r="166" spans="1:12" s="260" customFormat="1" ht="12.75">
      <c r="A166" s="242" t="s">
        <v>552</v>
      </c>
      <c r="B166" s="261" t="s">
        <v>357</v>
      </c>
      <c r="C166" s="257" t="s">
        <v>18</v>
      </c>
      <c r="D166" s="215">
        <v>1</v>
      </c>
      <c r="E166" s="216">
        <v>45.29</v>
      </c>
      <c r="F166" s="135">
        <f t="shared" si="12"/>
        <v>56.61</v>
      </c>
      <c r="G166" s="159">
        <f t="shared" si="13"/>
        <v>56.61</v>
      </c>
      <c r="H166" s="254"/>
      <c r="I166" s="207"/>
      <c r="J166" s="116"/>
      <c r="K166" s="259"/>
      <c r="L166" s="255"/>
    </row>
    <row r="167" spans="1:12" s="119" customFormat="1" ht="22.5">
      <c r="A167" s="242" t="s">
        <v>553</v>
      </c>
      <c r="B167" s="261" t="s">
        <v>358</v>
      </c>
      <c r="C167" s="257" t="s">
        <v>18</v>
      </c>
      <c r="D167" s="215">
        <v>1</v>
      </c>
      <c r="E167" s="216">
        <v>15</v>
      </c>
      <c r="F167" s="135">
        <f t="shared" si="12"/>
        <v>18.75</v>
      </c>
      <c r="G167" s="159">
        <f t="shared" si="13"/>
        <v>18.75</v>
      </c>
      <c r="H167" s="254"/>
      <c r="I167" s="207"/>
      <c r="J167" s="116"/>
      <c r="K167" s="117"/>
      <c r="L167" s="255"/>
    </row>
    <row r="168" spans="1:12" s="119" customFormat="1" ht="12.75">
      <c r="A168" s="242" t="s">
        <v>554</v>
      </c>
      <c r="B168" s="261" t="s">
        <v>359</v>
      </c>
      <c r="C168" s="257" t="s">
        <v>18</v>
      </c>
      <c r="D168" s="215">
        <v>5</v>
      </c>
      <c r="E168" s="216">
        <v>19.68</v>
      </c>
      <c r="F168" s="135">
        <f t="shared" si="12"/>
        <v>24.6</v>
      </c>
      <c r="G168" s="159">
        <f t="shared" si="13"/>
        <v>123</v>
      </c>
      <c r="H168" s="254"/>
      <c r="I168" s="207"/>
      <c r="J168" s="116"/>
      <c r="K168" s="117"/>
      <c r="L168" s="255"/>
    </row>
    <row r="169" spans="1:12" s="119" customFormat="1" ht="22.5">
      <c r="A169" s="242" t="s">
        <v>555</v>
      </c>
      <c r="B169" s="261" t="s">
        <v>360</v>
      </c>
      <c r="C169" s="257" t="s">
        <v>18</v>
      </c>
      <c r="D169" s="215">
        <v>3</v>
      </c>
      <c r="E169" s="216">
        <v>233.36</v>
      </c>
      <c r="F169" s="135">
        <f t="shared" si="12"/>
        <v>291.7</v>
      </c>
      <c r="G169" s="159">
        <f t="shared" si="13"/>
        <v>875.1</v>
      </c>
      <c r="H169" s="254"/>
      <c r="I169" s="207"/>
      <c r="J169" s="116"/>
      <c r="K169" s="117"/>
      <c r="L169" s="255"/>
    </row>
    <row r="170" spans="1:12" s="119" customFormat="1" ht="12.75">
      <c r="A170" s="242" t="s">
        <v>556</v>
      </c>
      <c r="B170" s="261" t="s">
        <v>361</v>
      </c>
      <c r="C170" s="257" t="s">
        <v>18</v>
      </c>
      <c r="D170" s="215">
        <v>1</v>
      </c>
      <c r="E170" s="216">
        <v>13.54</v>
      </c>
      <c r="F170" s="135">
        <f t="shared" si="12"/>
        <v>16.93</v>
      </c>
      <c r="G170" s="159">
        <f t="shared" si="13"/>
        <v>16.93</v>
      </c>
      <c r="H170" s="254"/>
      <c r="I170" s="207"/>
      <c r="J170" s="116"/>
      <c r="K170" s="117"/>
      <c r="L170" s="255"/>
    </row>
    <row r="171" spans="1:12" s="260" customFormat="1" ht="12.75">
      <c r="A171" s="242" t="s">
        <v>557</v>
      </c>
      <c r="B171" s="261" t="s">
        <v>362</v>
      </c>
      <c r="C171" s="257" t="s">
        <v>18</v>
      </c>
      <c r="D171" s="258">
        <v>1</v>
      </c>
      <c r="E171" s="216">
        <v>126.46</v>
      </c>
      <c r="F171" s="135">
        <f t="shared" si="12"/>
        <v>158.08</v>
      </c>
      <c r="G171" s="159">
        <f t="shared" si="13"/>
        <v>158.08</v>
      </c>
      <c r="H171" s="254"/>
      <c r="I171" s="207"/>
      <c r="J171" s="116"/>
      <c r="K171" s="259"/>
      <c r="L171" s="255"/>
    </row>
    <row r="172" spans="1:12" s="119" customFormat="1" ht="22.5">
      <c r="A172" s="242" t="s">
        <v>558</v>
      </c>
      <c r="B172" s="261" t="s">
        <v>363</v>
      </c>
      <c r="C172" s="214" t="s">
        <v>18</v>
      </c>
      <c r="D172" s="215">
        <v>1</v>
      </c>
      <c r="E172" s="216">
        <v>14758.92</v>
      </c>
      <c r="F172" s="135">
        <f t="shared" si="12"/>
        <v>18448.65</v>
      </c>
      <c r="G172" s="159">
        <f t="shared" si="13"/>
        <v>18448.65</v>
      </c>
      <c r="H172" s="254"/>
      <c r="I172" s="207"/>
      <c r="J172" s="116"/>
      <c r="K172" s="117"/>
      <c r="L172" s="118"/>
    </row>
    <row r="173" spans="1:12" s="260" customFormat="1" ht="12.75">
      <c r="A173" s="242"/>
      <c r="B173" s="252" t="s">
        <v>364</v>
      </c>
      <c r="C173" s="214"/>
      <c r="D173" s="215"/>
      <c r="E173" s="216"/>
      <c r="F173" s="135"/>
      <c r="G173" s="159"/>
      <c r="H173" s="254"/>
      <c r="I173" s="207"/>
      <c r="J173" s="116"/>
      <c r="K173" s="259"/>
      <c r="L173" s="255"/>
    </row>
    <row r="174" spans="1:12" s="260" customFormat="1" ht="12.75">
      <c r="A174" s="242" t="s">
        <v>559</v>
      </c>
      <c r="B174" s="252" t="s">
        <v>365</v>
      </c>
      <c r="C174" s="214" t="s">
        <v>12</v>
      </c>
      <c r="D174" s="215">
        <v>8</v>
      </c>
      <c r="E174" s="216">
        <v>6.09</v>
      </c>
      <c r="F174" s="135">
        <f t="shared" si="12"/>
        <v>7.61</v>
      </c>
      <c r="G174" s="159">
        <f t="shared" si="13"/>
        <v>60.88</v>
      </c>
      <c r="H174" s="254"/>
      <c r="I174" s="207"/>
      <c r="J174" s="116"/>
      <c r="K174" s="259"/>
      <c r="L174" s="255"/>
    </row>
    <row r="175" spans="1:12" s="260" customFormat="1" ht="12.75">
      <c r="A175" s="242" t="s">
        <v>560</v>
      </c>
      <c r="B175" s="252" t="s">
        <v>366</v>
      </c>
      <c r="C175" s="257" t="s">
        <v>12</v>
      </c>
      <c r="D175" s="258">
        <v>16</v>
      </c>
      <c r="E175" s="216">
        <v>3.65</v>
      </c>
      <c r="F175" s="135">
        <f t="shared" si="12"/>
        <v>4.56</v>
      </c>
      <c r="G175" s="159">
        <f t="shared" si="13"/>
        <v>72.96</v>
      </c>
      <c r="H175" s="254"/>
      <c r="I175" s="207"/>
      <c r="J175" s="116"/>
      <c r="K175" s="259"/>
      <c r="L175" s="255"/>
    </row>
    <row r="176" spans="1:12" ht="12.75">
      <c r="A176" s="242"/>
      <c r="B176" s="248" t="s">
        <v>367</v>
      </c>
      <c r="C176" s="150"/>
      <c r="D176" s="142"/>
      <c r="E176" s="135"/>
      <c r="F176" s="135"/>
      <c r="G176" s="159"/>
      <c r="H176" s="139"/>
      <c r="I176" s="200"/>
      <c r="J176" s="89"/>
      <c r="K176" s="82"/>
      <c r="L176" s="93"/>
    </row>
    <row r="177" spans="1:12" s="91" customFormat="1" ht="12.75">
      <c r="A177" s="242" t="s">
        <v>561</v>
      </c>
      <c r="B177" s="248" t="s">
        <v>368</v>
      </c>
      <c r="C177" s="150" t="s">
        <v>18</v>
      </c>
      <c r="D177" s="142">
        <v>3</v>
      </c>
      <c r="E177" s="135">
        <v>16.16</v>
      </c>
      <c r="F177" s="135">
        <f t="shared" si="12"/>
        <v>20.2</v>
      </c>
      <c r="G177" s="159">
        <f t="shared" si="13"/>
        <v>60.6</v>
      </c>
      <c r="H177" s="139"/>
      <c r="I177" s="200"/>
      <c r="J177" s="89"/>
      <c r="K177" s="92"/>
      <c r="L177" s="90"/>
    </row>
    <row r="178" spans="1:12" s="91" customFormat="1" ht="12.75">
      <c r="A178" s="242" t="s">
        <v>562</v>
      </c>
      <c r="B178" s="248" t="s">
        <v>365</v>
      </c>
      <c r="C178" s="150" t="s">
        <v>18</v>
      </c>
      <c r="D178" s="142">
        <v>4</v>
      </c>
      <c r="E178" s="135">
        <v>8.85</v>
      </c>
      <c r="F178" s="135">
        <f t="shared" si="12"/>
        <v>11.06</v>
      </c>
      <c r="G178" s="159">
        <f t="shared" si="13"/>
        <v>44.24</v>
      </c>
      <c r="H178" s="139"/>
      <c r="I178" s="200"/>
      <c r="J178" s="89"/>
      <c r="K178" s="92"/>
      <c r="L178" s="90"/>
    </row>
    <row r="179" spans="1:12" ht="12.75">
      <c r="A179" s="242" t="s">
        <v>563</v>
      </c>
      <c r="B179" s="248" t="s">
        <v>366</v>
      </c>
      <c r="C179" s="150" t="s">
        <v>18</v>
      </c>
      <c r="D179" s="142">
        <v>6</v>
      </c>
      <c r="E179" s="135">
        <v>4.97</v>
      </c>
      <c r="F179" s="135">
        <f t="shared" si="12"/>
        <v>6.21</v>
      </c>
      <c r="G179" s="159">
        <f t="shared" si="13"/>
        <v>37.26</v>
      </c>
      <c r="H179" s="139"/>
      <c r="I179" s="200"/>
      <c r="J179" s="89"/>
      <c r="K179" s="82"/>
      <c r="L179" s="90"/>
    </row>
    <row r="180" spans="1:12" ht="12.75">
      <c r="A180" s="242" t="s">
        <v>564</v>
      </c>
      <c r="B180" s="248" t="s">
        <v>369</v>
      </c>
      <c r="C180" s="150" t="s">
        <v>18</v>
      </c>
      <c r="D180" s="142">
        <v>4</v>
      </c>
      <c r="E180" s="135">
        <v>3.46</v>
      </c>
      <c r="F180" s="135">
        <f t="shared" si="12"/>
        <v>4.33</v>
      </c>
      <c r="G180" s="159">
        <f t="shared" si="13"/>
        <v>17.32</v>
      </c>
      <c r="H180" s="139"/>
      <c r="I180" s="200"/>
      <c r="J180" s="89"/>
      <c r="K180" s="82"/>
      <c r="L180" s="90"/>
    </row>
    <row r="181" spans="1:12" ht="12.75">
      <c r="A181" s="242"/>
      <c r="B181" s="248" t="s">
        <v>370</v>
      </c>
      <c r="C181" s="150"/>
      <c r="D181" s="142"/>
      <c r="E181" s="135"/>
      <c r="F181" s="135"/>
      <c r="G181" s="159"/>
      <c r="H181" s="139"/>
      <c r="I181" s="200"/>
      <c r="J181" s="89"/>
      <c r="K181" s="82"/>
      <c r="L181" s="90"/>
    </row>
    <row r="182" spans="1:12" ht="12.75">
      <c r="A182" s="242" t="s">
        <v>565</v>
      </c>
      <c r="B182" s="248" t="s">
        <v>368</v>
      </c>
      <c r="C182" s="150" t="s">
        <v>18</v>
      </c>
      <c r="D182" s="142">
        <v>1</v>
      </c>
      <c r="E182" s="135">
        <v>16.29</v>
      </c>
      <c r="F182" s="135">
        <f t="shared" si="12"/>
        <v>20.36</v>
      </c>
      <c r="G182" s="159">
        <f t="shared" si="13"/>
        <v>20.36</v>
      </c>
      <c r="H182" s="139"/>
      <c r="I182" s="200"/>
      <c r="J182" s="89"/>
      <c r="K182" s="82"/>
      <c r="L182" s="90"/>
    </row>
    <row r="183" spans="1:12" s="91" customFormat="1" ht="12.75">
      <c r="A183" s="242" t="s">
        <v>566</v>
      </c>
      <c r="B183" s="248" t="s">
        <v>365</v>
      </c>
      <c r="C183" s="227" t="s">
        <v>18</v>
      </c>
      <c r="D183" s="241">
        <v>3</v>
      </c>
      <c r="E183" s="135">
        <v>16.29</v>
      </c>
      <c r="F183" s="135">
        <f t="shared" si="12"/>
        <v>20.36</v>
      </c>
      <c r="G183" s="159">
        <f t="shared" si="13"/>
        <v>61.08</v>
      </c>
      <c r="H183" s="139"/>
      <c r="I183" s="200"/>
      <c r="J183" s="89"/>
      <c r="K183" s="92"/>
      <c r="L183" s="90"/>
    </row>
    <row r="184" spans="1:12" ht="12.75">
      <c r="A184" s="242" t="s">
        <v>567</v>
      </c>
      <c r="B184" s="248" t="s">
        <v>366</v>
      </c>
      <c r="C184" s="150" t="s">
        <v>18</v>
      </c>
      <c r="D184" s="142">
        <v>4</v>
      </c>
      <c r="E184" s="135">
        <v>13.09</v>
      </c>
      <c r="F184" s="135">
        <f t="shared" si="12"/>
        <v>16.36</v>
      </c>
      <c r="G184" s="159">
        <f t="shared" si="13"/>
        <v>65.44</v>
      </c>
      <c r="H184" s="139"/>
      <c r="I184" s="200"/>
      <c r="J184" s="89"/>
      <c r="K184" s="82"/>
      <c r="L184" s="93"/>
    </row>
    <row r="185" spans="1:12" s="91" customFormat="1" ht="12.75">
      <c r="A185" s="242" t="s">
        <v>568</v>
      </c>
      <c r="B185" s="248" t="s">
        <v>369</v>
      </c>
      <c r="C185" s="150" t="s">
        <v>18</v>
      </c>
      <c r="D185" s="142">
        <v>3</v>
      </c>
      <c r="E185" s="135">
        <v>7.3</v>
      </c>
      <c r="F185" s="135">
        <f t="shared" si="12"/>
        <v>9.13</v>
      </c>
      <c r="G185" s="159">
        <f t="shared" si="13"/>
        <v>27.39</v>
      </c>
      <c r="H185" s="139"/>
      <c r="I185" s="200"/>
      <c r="J185" s="89"/>
      <c r="K185" s="92"/>
      <c r="L185" s="90"/>
    </row>
    <row r="186" spans="1:12" s="91" customFormat="1" ht="12.75">
      <c r="A186" s="242"/>
      <c r="B186" s="248" t="s">
        <v>371</v>
      </c>
      <c r="C186" s="150"/>
      <c r="D186" s="142"/>
      <c r="E186" s="135"/>
      <c r="F186" s="135"/>
      <c r="G186" s="159"/>
      <c r="H186" s="139"/>
      <c r="I186" s="200"/>
      <c r="J186" s="89"/>
      <c r="K186" s="92"/>
      <c r="L186" s="90"/>
    </row>
    <row r="187" spans="1:12" s="91" customFormat="1" ht="12.75">
      <c r="A187" s="242" t="s">
        <v>569</v>
      </c>
      <c r="B187" s="248" t="s">
        <v>368</v>
      </c>
      <c r="C187" s="227" t="s">
        <v>18</v>
      </c>
      <c r="D187" s="241">
        <v>3</v>
      </c>
      <c r="E187" s="135">
        <v>9.34</v>
      </c>
      <c r="F187" s="135">
        <f t="shared" si="12"/>
        <v>11.68</v>
      </c>
      <c r="G187" s="159">
        <f t="shared" si="13"/>
        <v>35.04</v>
      </c>
      <c r="H187" s="139"/>
      <c r="I187" s="200"/>
      <c r="J187" s="89"/>
      <c r="K187" s="92"/>
      <c r="L187" s="90"/>
    </row>
    <row r="188" spans="1:12" ht="12.75">
      <c r="A188" s="242" t="s">
        <v>570</v>
      </c>
      <c r="B188" s="248" t="s">
        <v>365</v>
      </c>
      <c r="C188" s="227" t="s">
        <v>18</v>
      </c>
      <c r="D188" s="142">
        <v>6</v>
      </c>
      <c r="E188" s="135">
        <v>9.34</v>
      </c>
      <c r="F188" s="135">
        <f t="shared" si="12"/>
        <v>11.68</v>
      </c>
      <c r="G188" s="159">
        <f t="shared" si="13"/>
        <v>70.08</v>
      </c>
      <c r="H188" s="139"/>
      <c r="I188" s="200"/>
      <c r="J188" s="89"/>
      <c r="K188" s="82"/>
      <c r="L188" s="93"/>
    </row>
    <row r="189" spans="1:12" s="91" customFormat="1" ht="12.75">
      <c r="A189" s="242" t="s">
        <v>571</v>
      </c>
      <c r="B189" s="248" t="s">
        <v>366</v>
      </c>
      <c r="C189" s="227" t="s">
        <v>18</v>
      </c>
      <c r="D189" s="142">
        <v>8</v>
      </c>
      <c r="E189" s="135">
        <v>8.32</v>
      </c>
      <c r="F189" s="135">
        <f t="shared" si="12"/>
        <v>10.4</v>
      </c>
      <c r="G189" s="159">
        <f t="shared" si="13"/>
        <v>83.2</v>
      </c>
      <c r="H189" s="139"/>
      <c r="I189" s="200"/>
      <c r="J189" s="89"/>
      <c r="K189" s="92"/>
      <c r="L189" s="90"/>
    </row>
    <row r="190" spans="1:12" s="91" customFormat="1" ht="12.75">
      <c r="A190" s="242" t="s">
        <v>572</v>
      </c>
      <c r="B190" s="248" t="s">
        <v>369</v>
      </c>
      <c r="C190" s="227" t="s">
        <v>18</v>
      </c>
      <c r="D190" s="142">
        <v>6</v>
      </c>
      <c r="E190" s="135">
        <v>6.04</v>
      </c>
      <c r="F190" s="135">
        <f t="shared" si="12"/>
        <v>7.55</v>
      </c>
      <c r="G190" s="159">
        <f t="shared" si="13"/>
        <v>45.3</v>
      </c>
      <c r="H190" s="139"/>
      <c r="I190" s="200"/>
      <c r="J190" s="89"/>
      <c r="K190" s="92"/>
      <c r="L190" s="90"/>
    </row>
    <row r="191" spans="1:12" ht="12.75">
      <c r="A191" s="242"/>
      <c r="B191" s="248" t="s">
        <v>372</v>
      </c>
      <c r="C191" s="150"/>
      <c r="D191" s="142"/>
      <c r="E191" s="135"/>
      <c r="F191" s="135"/>
      <c r="G191" s="159"/>
      <c r="H191" s="139"/>
      <c r="I191" s="200"/>
      <c r="J191" s="89"/>
      <c r="K191" s="82"/>
      <c r="L191" s="90"/>
    </row>
    <row r="192" spans="1:12" ht="12.75">
      <c r="A192" s="242" t="s">
        <v>573</v>
      </c>
      <c r="B192" s="248" t="s">
        <v>368</v>
      </c>
      <c r="C192" s="150" t="s">
        <v>18</v>
      </c>
      <c r="D192" s="142">
        <v>2</v>
      </c>
      <c r="E192" s="135">
        <v>23.68</v>
      </c>
      <c r="F192" s="135">
        <f t="shared" si="12"/>
        <v>29.6</v>
      </c>
      <c r="G192" s="159">
        <f t="shared" si="13"/>
        <v>59.2</v>
      </c>
      <c r="H192" s="139"/>
      <c r="I192" s="200"/>
      <c r="J192" s="89"/>
      <c r="K192" s="82"/>
      <c r="L192" s="90"/>
    </row>
    <row r="193" spans="1:12" ht="12.75">
      <c r="A193" s="242" t="s">
        <v>574</v>
      </c>
      <c r="B193" s="248" t="s">
        <v>365</v>
      </c>
      <c r="C193" s="150" t="s">
        <v>18</v>
      </c>
      <c r="D193" s="142">
        <v>4</v>
      </c>
      <c r="E193" s="135">
        <v>14.61</v>
      </c>
      <c r="F193" s="135">
        <f t="shared" si="12"/>
        <v>18.26</v>
      </c>
      <c r="G193" s="159">
        <f t="shared" si="13"/>
        <v>73.04</v>
      </c>
      <c r="H193" s="139"/>
      <c r="I193" s="200"/>
      <c r="J193" s="89"/>
      <c r="K193" s="82"/>
      <c r="L193" s="90"/>
    </row>
    <row r="194" spans="1:12" ht="12.75">
      <c r="A194" s="242" t="s">
        <v>575</v>
      </c>
      <c r="B194" s="248" t="s">
        <v>366</v>
      </c>
      <c r="C194" s="150" t="s">
        <v>18</v>
      </c>
      <c r="D194" s="142">
        <v>4</v>
      </c>
      <c r="E194" s="135">
        <v>6.23</v>
      </c>
      <c r="F194" s="135">
        <f aca="true" t="shared" si="14" ref="F194:F256">ROUND(E194*$J$1,2)</f>
        <v>7.79</v>
      </c>
      <c r="G194" s="159">
        <f aca="true" t="shared" si="15" ref="G194:G256">ROUND(F194*D194,2)</f>
        <v>31.16</v>
      </c>
      <c r="H194" s="139"/>
      <c r="I194" s="200"/>
      <c r="J194" s="89"/>
      <c r="K194" s="82"/>
      <c r="L194" s="90"/>
    </row>
    <row r="195" spans="1:12" s="91" customFormat="1" ht="12.75">
      <c r="A195" s="242" t="s">
        <v>576</v>
      </c>
      <c r="B195" s="248" t="s">
        <v>369</v>
      </c>
      <c r="C195" s="150" t="s">
        <v>18</v>
      </c>
      <c r="D195" s="241">
        <v>6</v>
      </c>
      <c r="E195" s="135">
        <v>2.28</v>
      </c>
      <c r="F195" s="135">
        <f t="shared" si="14"/>
        <v>2.85</v>
      </c>
      <c r="G195" s="159">
        <f t="shared" si="15"/>
        <v>17.1</v>
      </c>
      <c r="H195" s="139"/>
      <c r="I195" s="200"/>
      <c r="J195" s="89"/>
      <c r="K195" s="92"/>
      <c r="L195" s="90"/>
    </row>
    <row r="196" spans="1:12" ht="12.75">
      <c r="A196" s="242"/>
      <c r="B196" s="248" t="s">
        <v>373</v>
      </c>
      <c r="C196" s="150"/>
      <c r="D196" s="142"/>
      <c r="E196" s="135"/>
      <c r="F196" s="135"/>
      <c r="G196" s="159"/>
      <c r="H196" s="139"/>
      <c r="I196" s="200"/>
      <c r="J196" s="89"/>
      <c r="K196" s="82"/>
      <c r="L196" s="93"/>
    </row>
    <row r="197" spans="1:12" s="91" customFormat="1" ht="12.75">
      <c r="A197" s="242" t="s">
        <v>577</v>
      </c>
      <c r="B197" s="248" t="s">
        <v>374</v>
      </c>
      <c r="C197" s="150" t="s">
        <v>18</v>
      </c>
      <c r="D197" s="142">
        <v>1</v>
      </c>
      <c r="E197" s="135">
        <v>9.17</v>
      </c>
      <c r="F197" s="135">
        <f t="shared" si="14"/>
        <v>11.46</v>
      </c>
      <c r="G197" s="159">
        <f t="shared" si="15"/>
        <v>11.46</v>
      </c>
      <c r="H197" s="139"/>
      <c r="I197" s="200"/>
      <c r="J197" s="89"/>
      <c r="K197" s="92"/>
      <c r="L197" s="90"/>
    </row>
    <row r="198" spans="1:12" s="91" customFormat="1" ht="12.75">
      <c r="A198" s="242"/>
      <c r="B198" s="248" t="s">
        <v>375</v>
      </c>
      <c r="C198" s="150"/>
      <c r="D198" s="142"/>
      <c r="E198" s="135"/>
      <c r="F198" s="135"/>
      <c r="G198" s="159"/>
      <c r="H198" s="139"/>
      <c r="I198" s="200"/>
      <c r="J198" s="89"/>
      <c r="K198" s="92"/>
      <c r="L198" s="90"/>
    </row>
    <row r="199" spans="1:12" s="91" customFormat="1" ht="12.75">
      <c r="A199" s="242" t="s">
        <v>578</v>
      </c>
      <c r="B199" s="248" t="s">
        <v>376</v>
      </c>
      <c r="C199" s="227" t="s">
        <v>12</v>
      </c>
      <c r="D199" s="241">
        <v>5</v>
      </c>
      <c r="E199" s="135">
        <v>5.73</v>
      </c>
      <c r="F199" s="135">
        <f t="shared" si="14"/>
        <v>7.16</v>
      </c>
      <c r="G199" s="159">
        <f t="shared" si="15"/>
        <v>35.8</v>
      </c>
      <c r="H199" s="139"/>
      <c r="I199" s="200"/>
      <c r="J199" s="89"/>
      <c r="K199" s="92"/>
      <c r="L199" s="90"/>
    </row>
    <row r="200" spans="1:12" ht="12.75">
      <c r="A200" s="242" t="s">
        <v>578</v>
      </c>
      <c r="B200" s="248" t="s">
        <v>377</v>
      </c>
      <c r="C200" s="150" t="s">
        <v>18</v>
      </c>
      <c r="D200" s="142">
        <v>1</v>
      </c>
      <c r="E200" s="135">
        <v>40.86</v>
      </c>
      <c r="F200" s="135">
        <f t="shared" si="14"/>
        <v>51.08</v>
      </c>
      <c r="G200" s="159">
        <f t="shared" si="15"/>
        <v>51.08</v>
      </c>
      <c r="H200" s="139"/>
      <c r="I200" s="200"/>
      <c r="J200" s="89"/>
      <c r="K200" s="82"/>
      <c r="L200" s="93"/>
    </row>
    <row r="201" spans="1:12" s="91" customFormat="1" ht="12.75">
      <c r="A201" s="242"/>
      <c r="B201" s="263" t="s">
        <v>378</v>
      </c>
      <c r="C201" s="150"/>
      <c r="D201" s="142"/>
      <c r="E201" s="135"/>
      <c r="F201" s="135"/>
      <c r="G201" s="159"/>
      <c r="H201" s="139"/>
      <c r="I201" s="200"/>
      <c r="J201" s="89"/>
      <c r="K201" s="92"/>
      <c r="L201" s="90"/>
    </row>
    <row r="202" spans="1:12" s="91" customFormat="1" ht="22.5">
      <c r="A202" s="242" t="s">
        <v>579</v>
      </c>
      <c r="B202" s="261" t="s">
        <v>379</v>
      </c>
      <c r="C202" s="150" t="s">
        <v>18</v>
      </c>
      <c r="D202" s="142">
        <v>1</v>
      </c>
      <c r="E202" s="135">
        <v>988.21</v>
      </c>
      <c r="F202" s="135">
        <f t="shared" si="14"/>
        <v>1235.26</v>
      </c>
      <c r="G202" s="159">
        <f t="shared" si="15"/>
        <v>1235.26</v>
      </c>
      <c r="H202" s="139"/>
      <c r="I202" s="200"/>
      <c r="J202" s="89"/>
      <c r="K202" s="92"/>
      <c r="L202" s="90"/>
    </row>
    <row r="203" spans="1:12" ht="22.5">
      <c r="A203" s="242" t="s">
        <v>580</v>
      </c>
      <c r="B203" s="261" t="s">
        <v>380</v>
      </c>
      <c r="C203" s="150" t="s">
        <v>18</v>
      </c>
      <c r="D203" s="142">
        <v>1</v>
      </c>
      <c r="E203" s="135">
        <v>494.71</v>
      </c>
      <c r="F203" s="135">
        <f t="shared" si="14"/>
        <v>618.39</v>
      </c>
      <c r="G203" s="159">
        <f t="shared" si="15"/>
        <v>618.39</v>
      </c>
      <c r="H203" s="139"/>
      <c r="I203" s="200"/>
      <c r="J203" s="89"/>
      <c r="K203" s="82"/>
      <c r="L203" s="90"/>
    </row>
    <row r="204" spans="1:12" ht="22.5">
      <c r="A204" s="242" t="s">
        <v>581</v>
      </c>
      <c r="B204" s="261" t="s">
        <v>381</v>
      </c>
      <c r="C204" s="150" t="s">
        <v>18</v>
      </c>
      <c r="D204" s="142">
        <v>1</v>
      </c>
      <c r="E204" s="135">
        <v>409.99</v>
      </c>
      <c r="F204" s="135">
        <f t="shared" si="14"/>
        <v>512.49</v>
      </c>
      <c r="G204" s="159">
        <f t="shared" si="15"/>
        <v>512.49</v>
      </c>
      <c r="H204" s="139"/>
      <c r="I204" s="200"/>
      <c r="J204" s="89"/>
      <c r="K204" s="82"/>
      <c r="L204" s="90"/>
    </row>
    <row r="205" spans="1:12" ht="22.5">
      <c r="A205" s="242" t="s">
        <v>582</v>
      </c>
      <c r="B205" s="261" t="s">
        <v>382</v>
      </c>
      <c r="C205" s="150" t="s">
        <v>18</v>
      </c>
      <c r="D205" s="142">
        <v>1</v>
      </c>
      <c r="E205" s="135">
        <v>146.48</v>
      </c>
      <c r="F205" s="135">
        <f t="shared" si="14"/>
        <v>183.1</v>
      </c>
      <c r="G205" s="159">
        <f t="shared" si="15"/>
        <v>183.1</v>
      </c>
      <c r="H205" s="139"/>
      <c r="I205" s="200"/>
      <c r="J205" s="89"/>
      <c r="K205" s="82"/>
      <c r="L205" s="90"/>
    </row>
    <row r="206" spans="1:12" ht="12.75">
      <c r="A206" s="242" t="s">
        <v>583</v>
      </c>
      <c r="B206" s="252" t="s">
        <v>383</v>
      </c>
      <c r="C206" s="150" t="s">
        <v>18</v>
      </c>
      <c r="D206" s="142">
        <v>1</v>
      </c>
      <c r="E206" s="135">
        <v>836.02</v>
      </c>
      <c r="F206" s="135">
        <f t="shared" si="14"/>
        <v>1045.03</v>
      </c>
      <c r="G206" s="159">
        <f t="shared" si="15"/>
        <v>1045.03</v>
      </c>
      <c r="H206" s="139"/>
      <c r="I206" s="200"/>
      <c r="J206" s="89"/>
      <c r="K206" s="82"/>
      <c r="L206" s="90"/>
    </row>
    <row r="207" spans="1:12" s="91" customFormat="1" ht="12.75">
      <c r="A207" s="242" t="s">
        <v>584</v>
      </c>
      <c r="B207" s="252" t="s">
        <v>384</v>
      </c>
      <c r="C207" s="150" t="s">
        <v>18</v>
      </c>
      <c r="D207" s="241">
        <v>2</v>
      </c>
      <c r="E207" s="135">
        <v>321.51</v>
      </c>
      <c r="F207" s="135">
        <f t="shared" si="14"/>
        <v>401.89</v>
      </c>
      <c r="G207" s="159">
        <f t="shared" si="15"/>
        <v>803.78</v>
      </c>
      <c r="H207" s="139"/>
      <c r="I207" s="200"/>
      <c r="J207" s="89"/>
      <c r="K207" s="92"/>
      <c r="L207" s="90"/>
    </row>
    <row r="208" spans="1:12" ht="12.75">
      <c r="A208" s="242" t="s">
        <v>585</v>
      </c>
      <c r="B208" s="252" t="s">
        <v>385</v>
      </c>
      <c r="C208" s="150" t="s">
        <v>18</v>
      </c>
      <c r="D208" s="142">
        <v>1</v>
      </c>
      <c r="E208" s="135">
        <v>111.46</v>
      </c>
      <c r="F208" s="135">
        <f t="shared" si="14"/>
        <v>139.33</v>
      </c>
      <c r="G208" s="159">
        <f t="shared" si="15"/>
        <v>139.33</v>
      </c>
      <c r="H208" s="139"/>
      <c r="I208" s="200"/>
      <c r="J208" s="89"/>
      <c r="K208" s="82"/>
      <c r="L208" s="93"/>
    </row>
    <row r="209" spans="1:12" s="91" customFormat="1" ht="12.75">
      <c r="A209" s="242" t="s">
        <v>586</v>
      </c>
      <c r="B209" s="252" t="s">
        <v>386</v>
      </c>
      <c r="C209" s="150" t="s">
        <v>18</v>
      </c>
      <c r="D209" s="142">
        <v>1</v>
      </c>
      <c r="E209" s="135">
        <v>12.84</v>
      </c>
      <c r="F209" s="135">
        <f t="shared" si="14"/>
        <v>16.05</v>
      </c>
      <c r="G209" s="159">
        <f t="shared" si="15"/>
        <v>16.05</v>
      </c>
      <c r="H209" s="139"/>
      <c r="I209" s="200"/>
      <c r="J209" s="89"/>
      <c r="K209" s="92"/>
      <c r="L209" s="90"/>
    </row>
    <row r="210" spans="1:12" s="91" customFormat="1" ht="12.75">
      <c r="A210" s="242" t="s">
        <v>587</v>
      </c>
      <c r="B210" s="252" t="s">
        <v>387</v>
      </c>
      <c r="C210" s="150" t="s">
        <v>18</v>
      </c>
      <c r="D210" s="142">
        <v>1</v>
      </c>
      <c r="E210" s="135">
        <v>525</v>
      </c>
      <c r="F210" s="135">
        <f t="shared" si="14"/>
        <v>656.25</v>
      </c>
      <c r="G210" s="159">
        <f t="shared" si="15"/>
        <v>656.25</v>
      </c>
      <c r="H210" s="139"/>
      <c r="I210" s="200"/>
      <c r="J210" s="89"/>
      <c r="K210" s="92"/>
      <c r="L210" s="90"/>
    </row>
    <row r="211" spans="1:12" s="91" customFormat="1" ht="12.75">
      <c r="A211" s="242"/>
      <c r="B211" s="263" t="s">
        <v>388</v>
      </c>
      <c r="C211" s="227"/>
      <c r="D211" s="241"/>
      <c r="E211" s="135"/>
      <c r="F211" s="135"/>
      <c r="G211" s="159"/>
      <c r="H211" s="139"/>
      <c r="I211" s="200"/>
      <c r="J211" s="89"/>
      <c r="K211" s="92"/>
      <c r="L211" s="90"/>
    </row>
    <row r="212" spans="1:12" ht="12.75">
      <c r="A212" s="242" t="s">
        <v>588</v>
      </c>
      <c r="B212" s="261" t="s">
        <v>389</v>
      </c>
      <c r="C212" s="150" t="s">
        <v>18</v>
      </c>
      <c r="D212" s="142">
        <v>6</v>
      </c>
      <c r="E212" s="135">
        <v>59.51</v>
      </c>
      <c r="F212" s="135">
        <f t="shared" si="14"/>
        <v>74.39</v>
      </c>
      <c r="G212" s="159">
        <f t="shared" si="15"/>
        <v>446.34</v>
      </c>
      <c r="H212" s="139"/>
      <c r="I212" s="200"/>
      <c r="J212" s="89"/>
      <c r="K212" s="82"/>
      <c r="L212" s="93"/>
    </row>
    <row r="213" spans="1:12" s="91" customFormat="1" ht="12.75">
      <c r="A213" s="242" t="s">
        <v>589</v>
      </c>
      <c r="B213" s="261" t="s">
        <v>390</v>
      </c>
      <c r="C213" s="150" t="s">
        <v>18</v>
      </c>
      <c r="D213" s="142">
        <v>1</v>
      </c>
      <c r="E213" s="135">
        <v>36.08</v>
      </c>
      <c r="F213" s="135">
        <f t="shared" si="14"/>
        <v>45.1</v>
      </c>
      <c r="G213" s="159">
        <f t="shared" si="15"/>
        <v>45.1</v>
      </c>
      <c r="H213" s="139"/>
      <c r="I213" s="200"/>
      <c r="J213" s="89"/>
      <c r="K213" s="92"/>
      <c r="L213" s="90"/>
    </row>
    <row r="214" spans="1:12" s="91" customFormat="1" ht="12.75">
      <c r="A214" s="242" t="s">
        <v>590</v>
      </c>
      <c r="B214" s="261" t="s">
        <v>391</v>
      </c>
      <c r="C214" s="150" t="s">
        <v>18</v>
      </c>
      <c r="D214" s="142">
        <v>1</v>
      </c>
      <c r="E214" s="135">
        <v>40.83</v>
      </c>
      <c r="F214" s="135">
        <f t="shared" si="14"/>
        <v>51.04</v>
      </c>
      <c r="G214" s="159">
        <f t="shared" si="15"/>
        <v>51.04</v>
      </c>
      <c r="H214" s="139"/>
      <c r="I214" s="200"/>
      <c r="J214" s="89"/>
      <c r="K214" s="92"/>
      <c r="L214" s="90"/>
    </row>
    <row r="215" spans="1:12" ht="12.75">
      <c r="A215" s="242" t="s">
        <v>591</v>
      </c>
      <c r="B215" s="261" t="s">
        <v>392</v>
      </c>
      <c r="C215" s="150" t="s">
        <v>18</v>
      </c>
      <c r="D215" s="142">
        <v>1</v>
      </c>
      <c r="E215" s="135">
        <v>1.15</v>
      </c>
      <c r="F215" s="135">
        <f t="shared" si="14"/>
        <v>1.44</v>
      </c>
      <c r="G215" s="159">
        <f t="shared" si="15"/>
        <v>1.44</v>
      </c>
      <c r="H215" s="139"/>
      <c r="I215" s="200"/>
      <c r="J215" s="89"/>
      <c r="K215" s="82"/>
      <c r="L215" s="90"/>
    </row>
    <row r="216" spans="1:12" ht="22.5">
      <c r="A216" s="242" t="s">
        <v>592</v>
      </c>
      <c r="B216" s="252" t="s">
        <v>393</v>
      </c>
      <c r="C216" s="150" t="s">
        <v>18</v>
      </c>
      <c r="D216" s="142">
        <v>1</v>
      </c>
      <c r="E216" s="135">
        <v>62.49</v>
      </c>
      <c r="F216" s="135">
        <f t="shared" si="14"/>
        <v>78.11</v>
      </c>
      <c r="G216" s="159">
        <f t="shared" si="15"/>
        <v>78.11</v>
      </c>
      <c r="H216" s="139"/>
      <c r="I216" s="200"/>
      <c r="J216" s="89"/>
      <c r="K216" s="82"/>
      <c r="L216" s="90"/>
    </row>
    <row r="217" spans="1:12" ht="12.75">
      <c r="A217" s="242" t="s">
        <v>593</v>
      </c>
      <c r="B217" s="252" t="s">
        <v>394</v>
      </c>
      <c r="C217" s="150" t="s">
        <v>18</v>
      </c>
      <c r="D217" s="142">
        <v>1</v>
      </c>
      <c r="E217" s="135">
        <v>6.53</v>
      </c>
      <c r="F217" s="135">
        <f t="shared" si="14"/>
        <v>8.16</v>
      </c>
      <c r="G217" s="159">
        <f t="shared" si="15"/>
        <v>8.16</v>
      </c>
      <c r="H217" s="139"/>
      <c r="I217" s="200"/>
      <c r="J217" s="89"/>
      <c r="K217" s="82"/>
      <c r="L217" s="90"/>
    </row>
    <row r="218" spans="1:12" s="91" customFormat="1" ht="12.75">
      <c r="A218" s="242"/>
      <c r="B218" s="263" t="s">
        <v>395</v>
      </c>
      <c r="C218" s="264"/>
      <c r="D218" s="241"/>
      <c r="E218" s="135"/>
      <c r="F218" s="135"/>
      <c r="G218" s="159"/>
      <c r="H218" s="139"/>
      <c r="I218" s="200"/>
      <c r="J218" s="89"/>
      <c r="K218" s="92"/>
      <c r="L218" s="90"/>
    </row>
    <row r="219" spans="1:12" ht="12.75">
      <c r="A219" s="242"/>
      <c r="B219" s="251" t="s">
        <v>333</v>
      </c>
      <c r="C219" s="250"/>
      <c r="D219" s="142"/>
      <c r="E219" s="135"/>
      <c r="F219" s="135"/>
      <c r="G219" s="159"/>
      <c r="H219" s="139"/>
      <c r="I219" s="200"/>
      <c r="J219" s="89"/>
      <c r="K219" s="82"/>
      <c r="L219" s="90"/>
    </row>
    <row r="220" spans="1:12" s="91" customFormat="1" ht="12.75">
      <c r="A220" s="242" t="s">
        <v>594</v>
      </c>
      <c r="B220" s="251" t="s">
        <v>427</v>
      </c>
      <c r="C220" s="264" t="s">
        <v>12</v>
      </c>
      <c r="D220" s="241">
        <f>22+25</f>
        <v>47</v>
      </c>
      <c r="E220" s="135">
        <v>47.06</v>
      </c>
      <c r="F220" s="135">
        <f t="shared" si="14"/>
        <v>58.83</v>
      </c>
      <c r="G220" s="159">
        <f t="shared" si="15"/>
        <v>2765.01</v>
      </c>
      <c r="H220" s="139"/>
      <c r="I220" s="200"/>
      <c r="J220" s="89"/>
      <c r="K220" s="92"/>
      <c r="L220" s="90"/>
    </row>
    <row r="221" spans="1:12" s="91" customFormat="1" ht="12.75">
      <c r="A221" s="242" t="s">
        <v>595</v>
      </c>
      <c r="B221" s="252" t="s">
        <v>396</v>
      </c>
      <c r="C221" s="250" t="s">
        <v>12</v>
      </c>
      <c r="D221" s="142">
        <v>75</v>
      </c>
      <c r="E221" s="135">
        <v>28.07</v>
      </c>
      <c r="F221" s="135">
        <f t="shared" si="14"/>
        <v>35.09</v>
      </c>
      <c r="G221" s="159">
        <f t="shared" si="15"/>
        <v>2631.75</v>
      </c>
      <c r="H221" s="139"/>
      <c r="I221" s="200"/>
      <c r="J221" s="89"/>
      <c r="K221" s="92"/>
      <c r="L221" s="90"/>
    </row>
    <row r="222" spans="1:12" ht="12.75">
      <c r="A222" s="242" t="s">
        <v>596</v>
      </c>
      <c r="B222" s="251" t="s">
        <v>428</v>
      </c>
      <c r="C222" s="250" t="s">
        <v>12</v>
      </c>
      <c r="D222" s="142">
        <f>65+200</f>
        <v>265</v>
      </c>
      <c r="E222" s="135">
        <v>21.88</v>
      </c>
      <c r="F222" s="135">
        <f t="shared" si="14"/>
        <v>27.35</v>
      </c>
      <c r="G222" s="159">
        <f t="shared" si="15"/>
        <v>7247.75</v>
      </c>
      <c r="H222" s="139"/>
      <c r="I222" s="200"/>
      <c r="J222" s="89"/>
      <c r="K222" s="82"/>
      <c r="L222" s="93"/>
    </row>
    <row r="223" spans="1:12" ht="12.75">
      <c r="A223" s="242"/>
      <c r="B223" s="251" t="s">
        <v>334</v>
      </c>
      <c r="C223" s="250"/>
      <c r="D223" s="142"/>
      <c r="E223" s="135"/>
      <c r="F223" s="135"/>
      <c r="G223" s="159"/>
      <c r="H223" s="139"/>
      <c r="I223" s="200"/>
      <c r="J223" s="89"/>
      <c r="K223" s="82"/>
      <c r="L223" s="90"/>
    </row>
    <row r="224" spans="1:12" s="91" customFormat="1" ht="12.75">
      <c r="A224" s="242" t="s">
        <v>597</v>
      </c>
      <c r="B224" s="251" t="s">
        <v>427</v>
      </c>
      <c r="C224" s="264" t="s">
        <v>12</v>
      </c>
      <c r="D224" s="241">
        <f>22+25</f>
        <v>47</v>
      </c>
      <c r="E224" s="135">
        <v>47.06</v>
      </c>
      <c r="F224" s="135">
        <f t="shared" si="14"/>
        <v>58.83</v>
      </c>
      <c r="G224" s="159">
        <f t="shared" si="15"/>
        <v>2765.01</v>
      </c>
      <c r="H224" s="139"/>
      <c r="I224" s="200"/>
      <c r="J224" s="89"/>
      <c r="K224" s="92"/>
      <c r="L224" s="90"/>
    </row>
    <row r="225" spans="1:12" s="91" customFormat="1" ht="12.75">
      <c r="A225" s="242" t="s">
        <v>598</v>
      </c>
      <c r="B225" s="252" t="s">
        <v>396</v>
      </c>
      <c r="C225" s="264" t="s">
        <v>12</v>
      </c>
      <c r="D225" s="241">
        <v>75</v>
      </c>
      <c r="E225" s="135">
        <v>28.07</v>
      </c>
      <c r="F225" s="135">
        <f t="shared" si="14"/>
        <v>35.09</v>
      </c>
      <c r="G225" s="159">
        <f t="shared" si="15"/>
        <v>2631.75</v>
      </c>
      <c r="H225" s="139"/>
      <c r="I225" s="200"/>
      <c r="J225" s="89"/>
      <c r="K225" s="92"/>
      <c r="L225" s="90"/>
    </row>
    <row r="226" spans="1:12" ht="12.75">
      <c r="A226" s="242" t="s">
        <v>599</v>
      </c>
      <c r="B226" s="251" t="s">
        <v>428</v>
      </c>
      <c r="C226" s="250" t="s">
        <v>12</v>
      </c>
      <c r="D226" s="142">
        <v>65</v>
      </c>
      <c r="E226" s="135">
        <v>21.88</v>
      </c>
      <c r="F226" s="135">
        <f t="shared" si="14"/>
        <v>27.35</v>
      </c>
      <c r="G226" s="159">
        <f t="shared" si="15"/>
        <v>1777.75</v>
      </c>
      <c r="H226" s="139"/>
      <c r="I226" s="200"/>
      <c r="J226" s="89"/>
      <c r="K226" s="82"/>
      <c r="L226" s="93"/>
    </row>
    <row r="227" spans="1:12" ht="22.5">
      <c r="A227" s="242"/>
      <c r="B227" s="251" t="s">
        <v>335</v>
      </c>
      <c r="C227" s="250"/>
      <c r="D227" s="142"/>
      <c r="E227" s="135"/>
      <c r="F227" s="135"/>
      <c r="G227" s="159"/>
      <c r="H227" s="139"/>
      <c r="I227" s="200"/>
      <c r="J227" s="89"/>
      <c r="K227" s="82"/>
      <c r="L227" s="90"/>
    </row>
    <row r="228" spans="1:12" s="91" customFormat="1" ht="12.75">
      <c r="A228" s="242" t="s">
        <v>600</v>
      </c>
      <c r="B228" s="251" t="s">
        <v>427</v>
      </c>
      <c r="C228" s="264" t="s">
        <v>12</v>
      </c>
      <c r="D228" s="241">
        <f>22+25</f>
        <v>47</v>
      </c>
      <c r="E228" s="135">
        <v>47.06</v>
      </c>
      <c r="F228" s="135">
        <f t="shared" si="14"/>
        <v>58.83</v>
      </c>
      <c r="G228" s="159">
        <f t="shared" si="15"/>
        <v>2765.01</v>
      </c>
      <c r="H228" s="139"/>
      <c r="I228" s="200"/>
      <c r="J228" s="89"/>
      <c r="K228" s="92"/>
      <c r="L228" s="90"/>
    </row>
    <row r="229" spans="1:12" s="91" customFormat="1" ht="12.75">
      <c r="A229" s="242" t="s">
        <v>601</v>
      </c>
      <c r="B229" s="252" t="s">
        <v>396</v>
      </c>
      <c r="C229" s="250" t="s">
        <v>12</v>
      </c>
      <c r="D229" s="142">
        <v>75</v>
      </c>
      <c r="E229" s="135">
        <v>28.07</v>
      </c>
      <c r="F229" s="135">
        <f t="shared" si="14"/>
        <v>35.09</v>
      </c>
      <c r="G229" s="159">
        <f t="shared" si="15"/>
        <v>2631.75</v>
      </c>
      <c r="H229" s="139"/>
      <c r="I229" s="200"/>
      <c r="J229" s="89"/>
      <c r="K229" s="92"/>
      <c r="L229" s="90"/>
    </row>
    <row r="230" spans="1:12" ht="12.75">
      <c r="A230" s="242" t="s">
        <v>602</v>
      </c>
      <c r="B230" s="251" t="s">
        <v>428</v>
      </c>
      <c r="C230" s="250" t="s">
        <v>12</v>
      </c>
      <c r="D230" s="142">
        <v>65</v>
      </c>
      <c r="E230" s="135">
        <v>21.88</v>
      </c>
      <c r="F230" s="135">
        <f t="shared" si="14"/>
        <v>27.35</v>
      </c>
      <c r="G230" s="159">
        <f t="shared" si="15"/>
        <v>1777.75</v>
      </c>
      <c r="H230" s="139"/>
      <c r="I230" s="200"/>
      <c r="J230" s="89"/>
      <c r="K230" s="82"/>
      <c r="L230" s="93"/>
    </row>
    <row r="231" spans="1:12" ht="22.5">
      <c r="A231" s="242"/>
      <c r="B231" s="251" t="s">
        <v>336</v>
      </c>
      <c r="C231" s="250"/>
      <c r="D231" s="142"/>
      <c r="E231" s="135"/>
      <c r="F231" s="135"/>
      <c r="G231" s="159"/>
      <c r="H231" s="139"/>
      <c r="I231" s="200"/>
      <c r="J231" s="89"/>
      <c r="K231" s="82"/>
      <c r="L231" s="90"/>
    </row>
    <row r="232" spans="1:12" s="91" customFormat="1" ht="12.75">
      <c r="A232" s="242" t="s">
        <v>603</v>
      </c>
      <c r="B232" s="251" t="s">
        <v>427</v>
      </c>
      <c r="C232" s="264" t="s">
        <v>12</v>
      </c>
      <c r="D232" s="241">
        <f>22+25</f>
        <v>47</v>
      </c>
      <c r="E232" s="135">
        <v>47.06</v>
      </c>
      <c r="F232" s="135">
        <f t="shared" si="14"/>
        <v>58.83</v>
      </c>
      <c r="G232" s="159">
        <f t="shared" si="15"/>
        <v>2765.01</v>
      </c>
      <c r="H232" s="139"/>
      <c r="I232" s="200"/>
      <c r="J232" s="89"/>
      <c r="K232" s="92"/>
      <c r="L232" s="90"/>
    </row>
    <row r="233" spans="1:12" ht="12.75">
      <c r="A233" s="242" t="s">
        <v>604</v>
      </c>
      <c r="B233" s="252" t="s">
        <v>396</v>
      </c>
      <c r="C233" s="250" t="s">
        <v>12</v>
      </c>
      <c r="D233" s="142">
        <v>75</v>
      </c>
      <c r="E233" s="135">
        <v>28.07</v>
      </c>
      <c r="F233" s="135">
        <f t="shared" si="14"/>
        <v>35.09</v>
      </c>
      <c r="G233" s="159">
        <f t="shared" si="15"/>
        <v>2631.75</v>
      </c>
      <c r="H233" s="139"/>
      <c r="I233" s="200"/>
      <c r="J233" s="89"/>
      <c r="K233" s="82"/>
      <c r="L233" s="90"/>
    </row>
    <row r="234" spans="1:12" ht="12.75">
      <c r="A234" s="242" t="s">
        <v>605</v>
      </c>
      <c r="B234" s="251" t="s">
        <v>428</v>
      </c>
      <c r="C234" s="250" t="s">
        <v>12</v>
      </c>
      <c r="D234" s="142">
        <f>65+70</f>
        <v>135</v>
      </c>
      <c r="E234" s="135">
        <v>21.88</v>
      </c>
      <c r="F234" s="135">
        <f t="shared" si="14"/>
        <v>27.35</v>
      </c>
      <c r="G234" s="159">
        <f t="shared" si="15"/>
        <v>3692.25</v>
      </c>
      <c r="H234" s="139"/>
      <c r="I234" s="200"/>
      <c r="J234" s="89"/>
      <c r="K234" s="82"/>
      <c r="L234" s="93"/>
    </row>
    <row r="235" spans="1:12" ht="12.75">
      <c r="A235" s="242"/>
      <c r="B235" s="251" t="s">
        <v>397</v>
      </c>
      <c r="C235" s="250"/>
      <c r="D235" s="142"/>
      <c r="E235" s="135"/>
      <c r="F235" s="135"/>
      <c r="G235" s="159"/>
      <c r="H235" s="139"/>
      <c r="I235" s="200"/>
      <c r="J235" s="89"/>
      <c r="K235" s="82"/>
      <c r="L235" s="90"/>
    </row>
    <row r="236" spans="1:12" s="91" customFormat="1" ht="12.75">
      <c r="A236" s="242" t="s">
        <v>606</v>
      </c>
      <c r="B236" s="251" t="s">
        <v>330</v>
      </c>
      <c r="C236" s="264" t="s">
        <v>12</v>
      </c>
      <c r="D236" s="241">
        <f>22+25</f>
        <v>47</v>
      </c>
      <c r="E236" s="135">
        <v>32.43</v>
      </c>
      <c r="F236" s="135">
        <f t="shared" si="14"/>
        <v>40.54</v>
      </c>
      <c r="G236" s="159">
        <f t="shared" si="15"/>
        <v>1905.38</v>
      </c>
      <c r="H236" s="139"/>
      <c r="I236" s="200"/>
      <c r="J236" s="89"/>
      <c r="K236" s="92"/>
      <c r="L236" s="90"/>
    </row>
    <row r="237" spans="1:12" ht="12.75">
      <c r="A237" s="242" t="s">
        <v>607</v>
      </c>
      <c r="B237" s="252" t="s">
        <v>398</v>
      </c>
      <c r="C237" s="250" t="s">
        <v>12</v>
      </c>
      <c r="D237" s="142">
        <v>75</v>
      </c>
      <c r="E237" s="135">
        <v>24.7</v>
      </c>
      <c r="F237" s="135">
        <f t="shared" si="14"/>
        <v>30.88</v>
      </c>
      <c r="G237" s="159">
        <f t="shared" si="15"/>
        <v>2316</v>
      </c>
      <c r="H237" s="139"/>
      <c r="I237" s="200"/>
      <c r="J237" s="89"/>
      <c r="K237" s="82"/>
      <c r="L237" s="90"/>
    </row>
    <row r="238" spans="1:12" ht="12.75">
      <c r="A238" s="242" t="s">
        <v>608</v>
      </c>
      <c r="B238" s="251" t="s">
        <v>428</v>
      </c>
      <c r="C238" s="250" t="s">
        <v>12</v>
      </c>
      <c r="D238" s="142">
        <f>65+70</f>
        <v>135</v>
      </c>
      <c r="E238" s="135">
        <v>21.88</v>
      </c>
      <c r="F238" s="135">
        <f t="shared" si="14"/>
        <v>27.35</v>
      </c>
      <c r="G238" s="159">
        <f t="shared" si="15"/>
        <v>3692.25</v>
      </c>
      <c r="H238" s="139"/>
      <c r="I238" s="200"/>
      <c r="J238" s="89"/>
      <c r="K238" s="82"/>
      <c r="L238" s="93"/>
    </row>
    <row r="239" spans="1:12" ht="12.75">
      <c r="A239" s="242"/>
      <c r="B239" s="252" t="s">
        <v>337</v>
      </c>
      <c r="C239" s="250"/>
      <c r="D239" s="142"/>
      <c r="E239" s="135"/>
      <c r="F239" s="135"/>
      <c r="G239" s="159"/>
      <c r="H239" s="139"/>
      <c r="I239" s="200"/>
      <c r="J239" s="89"/>
      <c r="K239" s="82"/>
      <c r="L239" s="90"/>
    </row>
    <row r="240" spans="1:12" s="91" customFormat="1" ht="12.75">
      <c r="A240" s="242" t="s">
        <v>609</v>
      </c>
      <c r="B240" s="251" t="s">
        <v>338</v>
      </c>
      <c r="C240" s="264" t="s">
        <v>12</v>
      </c>
      <c r="D240" s="241">
        <f>1020+3240+3590</f>
        <v>7850</v>
      </c>
      <c r="E240" s="135">
        <v>4.95</v>
      </c>
      <c r="F240" s="135">
        <f t="shared" si="14"/>
        <v>6.19</v>
      </c>
      <c r="G240" s="159">
        <f t="shared" si="15"/>
        <v>48591.5</v>
      </c>
      <c r="H240" s="139"/>
      <c r="I240" s="200"/>
      <c r="J240" s="89"/>
      <c r="K240" s="92"/>
      <c r="L240" s="90"/>
    </row>
    <row r="241" spans="1:12" ht="12.75">
      <c r="A241" s="242" t="s">
        <v>610</v>
      </c>
      <c r="B241" s="251" t="s">
        <v>399</v>
      </c>
      <c r="C241" s="250" t="s">
        <v>12</v>
      </c>
      <c r="D241" s="142">
        <f>185+950+875</f>
        <v>2010</v>
      </c>
      <c r="E241" s="135">
        <v>5.52</v>
      </c>
      <c r="F241" s="135">
        <f t="shared" si="14"/>
        <v>6.9</v>
      </c>
      <c r="G241" s="159">
        <f t="shared" si="15"/>
        <v>13869</v>
      </c>
      <c r="H241" s="139"/>
      <c r="I241" s="200"/>
      <c r="J241" s="89"/>
      <c r="K241" s="82"/>
      <c r="L241" s="93"/>
    </row>
    <row r="242" spans="1:12" s="91" customFormat="1" ht="12.75">
      <c r="A242" s="242" t="s">
        <v>611</v>
      </c>
      <c r="B242" s="251" t="s">
        <v>429</v>
      </c>
      <c r="C242" s="250" t="s">
        <v>12</v>
      </c>
      <c r="D242" s="142">
        <f>125+305</f>
        <v>430</v>
      </c>
      <c r="E242" s="135">
        <v>6.84</v>
      </c>
      <c r="F242" s="135">
        <f t="shared" si="14"/>
        <v>8.55</v>
      </c>
      <c r="G242" s="159">
        <f t="shared" si="15"/>
        <v>3676.5</v>
      </c>
      <c r="H242" s="139"/>
      <c r="I242" s="200"/>
      <c r="J242" s="89"/>
      <c r="K242" s="92"/>
      <c r="L242" s="90"/>
    </row>
    <row r="243" spans="1:12" s="91" customFormat="1" ht="12.75">
      <c r="A243" s="242" t="s">
        <v>612</v>
      </c>
      <c r="B243" s="251" t="s">
        <v>430</v>
      </c>
      <c r="C243" s="250" t="s">
        <v>12</v>
      </c>
      <c r="D243" s="142">
        <f>200+480</f>
        <v>680</v>
      </c>
      <c r="E243" s="135">
        <v>9.09</v>
      </c>
      <c r="F243" s="135">
        <f t="shared" si="14"/>
        <v>11.36</v>
      </c>
      <c r="G243" s="159">
        <f t="shared" si="15"/>
        <v>7724.8</v>
      </c>
      <c r="H243" s="139"/>
      <c r="I243" s="200"/>
      <c r="J243" s="89"/>
      <c r="K243" s="92"/>
      <c r="L243" s="90"/>
    </row>
    <row r="244" spans="1:12" s="91" customFormat="1" ht="12.75">
      <c r="A244" s="242"/>
      <c r="B244" s="251" t="s">
        <v>339</v>
      </c>
      <c r="C244" s="250"/>
      <c r="D244" s="142"/>
      <c r="E244" s="135"/>
      <c r="F244" s="135"/>
      <c r="G244" s="159"/>
      <c r="H244" s="139"/>
      <c r="I244" s="200"/>
      <c r="J244" s="89"/>
      <c r="K244" s="92"/>
      <c r="L244" s="90"/>
    </row>
    <row r="245" spans="1:12" s="91" customFormat="1" ht="12.75">
      <c r="A245" s="242" t="s">
        <v>613</v>
      </c>
      <c r="B245" s="251" t="s">
        <v>338</v>
      </c>
      <c r="C245" s="250" t="s">
        <v>12</v>
      </c>
      <c r="D245" s="142">
        <f>1065+2945+3245</f>
        <v>7255</v>
      </c>
      <c r="E245" s="135">
        <v>4.95</v>
      </c>
      <c r="F245" s="135">
        <f t="shared" si="14"/>
        <v>6.19</v>
      </c>
      <c r="G245" s="159">
        <f t="shared" si="15"/>
        <v>44908.45</v>
      </c>
      <c r="H245" s="139"/>
      <c r="I245" s="200"/>
      <c r="J245" s="89"/>
      <c r="K245" s="92"/>
      <c r="L245" s="90"/>
    </row>
    <row r="246" spans="1:12" s="91" customFormat="1" ht="12.75">
      <c r="A246" s="242" t="s">
        <v>614</v>
      </c>
      <c r="B246" s="251" t="s">
        <v>399</v>
      </c>
      <c r="C246" s="264" t="s">
        <v>12</v>
      </c>
      <c r="D246" s="241">
        <f>185+950+875</f>
        <v>2010</v>
      </c>
      <c r="E246" s="135">
        <v>5.52</v>
      </c>
      <c r="F246" s="135">
        <f t="shared" si="14"/>
        <v>6.9</v>
      </c>
      <c r="G246" s="159">
        <f t="shared" si="15"/>
        <v>13869</v>
      </c>
      <c r="H246" s="139"/>
      <c r="I246" s="200"/>
      <c r="J246" s="89"/>
      <c r="K246" s="92"/>
      <c r="L246" s="90"/>
    </row>
    <row r="247" spans="1:12" s="91" customFormat="1" ht="12.75">
      <c r="A247" s="242" t="s">
        <v>615</v>
      </c>
      <c r="B247" s="251" t="s">
        <v>429</v>
      </c>
      <c r="C247" s="250" t="s">
        <v>12</v>
      </c>
      <c r="D247" s="142">
        <f>125+305</f>
        <v>430</v>
      </c>
      <c r="E247" s="135">
        <v>6.84</v>
      </c>
      <c r="F247" s="135">
        <f t="shared" si="14"/>
        <v>8.55</v>
      </c>
      <c r="G247" s="159">
        <f t="shared" si="15"/>
        <v>3676.5</v>
      </c>
      <c r="H247" s="139"/>
      <c r="I247" s="200"/>
      <c r="J247" s="89"/>
      <c r="K247" s="92"/>
      <c r="L247" s="90"/>
    </row>
    <row r="248" spans="1:12" s="91" customFormat="1" ht="12.75">
      <c r="A248" s="242" t="s">
        <v>616</v>
      </c>
      <c r="B248" s="251" t="s">
        <v>430</v>
      </c>
      <c r="C248" s="250" t="s">
        <v>12</v>
      </c>
      <c r="D248" s="142">
        <f>200+480</f>
        <v>680</v>
      </c>
      <c r="E248" s="135">
        <v>9.09</v>
      </c>
      <c r="F248" s="135">
        <f t="shared" si="14"/>
        <v>11.36</v>
      </c>
      <c r="G248" s="159">
        <f t="shared" si="15"/>
        <v>7724.8</v>
      </c>
      <c r="H248" s="139"/>
      <c r="I248" s="200"/>
      <c r="J248" s="89"/>
      <c r="K248" s="92"/>
      <c r="L248" s="90"/>
    </row>
    <row r="249" spans="1:12" ht="12.75">
      <c r="A249" s="242"/>
      <c r="B249" s="251" t="s">
        <v>400</v>
      </c>
      <c r="C249" s="250"/>
      <c r="D249" s="142"/>
      <c r="E249" s="135"/>
      <c r="F249" s="135"/>
      <c r="G249" s="159"/>
      <c r="H249" s="139"/>
      <c r="I249" s="200"/>
      <c r="J249" s="89"/>
      <c r="K249" s="82"/>
      <c r="L249" s="93"/>
    </row>
    <row r="250" spans="1:12" s="91" customFormat="1" ht="12.75">
      <c r="A250" s="242" t="s">
        <v>617</v>
      </c>
      <c r="B250" s="251" t="s">
        <v>338</v>
      </c>
      <c r="C250" s="250" t="s">
        <v>12</v>
      </c>
      <c r="D250" s="142">
        <f>1065+2945+3245</f>
        <v>7255</v>
      </c>
      <c r="E250" s="135">
        <v>4.95</v>
      </c>
      <c r="F250" s="135">
        <f t="shared" si="14"/>
        <v>6.19</v>
      </c>
      <c r="G250" s="159">
        <f t="shared" si="15"/>
        <v>44908.45</v>
      </c>
      <c r="H250" s="139"/>
      <c r="I250" s="200"/>
      <c r="J250" s="89"/>
      <c r="K250" s="92"/>
      <c r="L250" s="90"/>
    </row>
    <row r="251" spans="1:12" s="91" customFormat="1" ht="12.75">
      <c r="A251" s="242" t="s">
        <v>618</v>
      </c>
      <c r="B251" s="251" t="s">
        <v>399</v>
      </c>
      <c r="C251" s="250" t="s">
        <v>12</v>
      </c>
      <c r="D251" s="142">
        <f>185+950+875</f>
        <v>2010</v>
      </c>
      <c r="E251" s="135">
        <v>5.52</v>
      </c>
      <c r="F251" s="135">
        <f t="shared" si="14"/>
        <v>6.9</v>
      </c>
      <c r="G251" s="159">
        <f t="shared" si="15"/>
        <v>13869</v>
      </c>
      <c r="H251" s="139"/>
      <c r="I251" s="200"/>
      <c r="J251" s="89"/>
      <c r="K251" s="92"/>
      <c r="L251" s="90"/>
    </row>
    <row r="252" spans="1:12" s="91" customFormat="1" ht="12.75">
      <c r="A252" s="242" t="s">
        <v>619</v>
      </c>
      <c r="B252" s="251" t="s">
        <v>429</v>
      </c>
      <c r="C252" s="250" t="s">
        <v>12</v>
      </c>
      <c r="D252" s="142">
        <f>125+305</f>
        <v>430</v>
      </c>
      <c r="E252" s="135">
        <v>6.84</v>
      </c>
      <c r="F252" s="135">
        <f t="shared" si="14"/>
        <v>8.55</v>
      </c>
      <c r="G252" s="159">
        <f t="shared" si="15"/>
        <v>3676.5</v>
      </c>
      <c r="H252" s="139"/>
      <c r="I252" s="200"/>
      <c r="J252" s="89"/>
      <c r="K252" s="92"/>
      <c r="L252" s="90"/>
    </row>
    <row r="253" spans="1:12" s="91" customFormat="1" ht="12.75">
      <c r="A253" s="242" t="s">
        <v>620</v>
      </c>
      <c r="B253" s="251" t="s">
        <v>430</v>
      </c>
      <c r="C253" s="250" t="s">
        <v>12</v>
      </c>
      <c r="D253" s="142">
        <f>200+480</f>
        <v>680</v>
      </c>
      <c r="E253" s="135">
        <v>9.09</v>
      </c>
      <c r="F253" s="135">
        <f t="shared" si="14"/>
        <v>11.36</v>
      </c>
      <c r="G253" s="159">
        <f t="shared" si="15"/>
        <v>7724.8</v>
      </c>
      <c r="H253" s="139"/>
      <c r="I253" s="200"/>
      <c r="J253" s="89"/>
      <c r="K253" s="92"/>
      <c r="L253" s="90"/>
    </row>
    <row r="254" spans="1:12" ht="22.5">
      <c r="A254" s="242"/>
      <c r="B254" s="251" t="s">
        <v>340</v>
      </c>
      <c r="C254" s="250"/>
      <c r="D254" s="142"/>
      <c r="E254" s="135"/>
      <c r="F254" s="135"/>
      <c r="G254" s="159"/>
      <c r="H254" s="139"/>
      <c r="I254" s="200"/>
      <c r="J254" s="89"/>
      <c r="K254" s="82"/>
      <c r="L254" s="90"/>
    </row>
    <row r="255" spans="1:12" ht="12.75">
      <c r="A255" s="242" t="s">
        <v>621</v>
      </c>
      <c r="B255" s="251" t="s">
        <v>338</v>
      </c>
      <c r="C255" s="250" t="s">
        <v>12</v>
      </c>
      <c r="D255" s="142">
        <f>100+250+250</f>
        <v>600</v>
      </c>
      <c r="E255" s="135">
        <v>4.95</v>
      </c>
      <c r="F255" s="135">
        <f t="shared" si="14"/>
        <v>6.19</v>
      </c>
      <c r="G255" s="159">
        <f t="shared" si="15"/>
        <v>3714</v>
      </c>
      <c r="H255" s="139"/>
      <c r="I255" s="200"/>
      <c r="J255" s="89"/>
      <c r="K255" s="82"/>
      <c r="L255" s="90"/>
    </row>
    <row r="256" spans="1:12" ht="22.5">
      <c r="A256" s="242" t="s">
        <v>622</v>
      </c>
      <c r="B256" s="252" t="s">
        <v>401</v>
      </c>
      <c r="C256" s="250" t="s">
        <v>18</v>
      </c>
      <c r="D256" s="142">
        <f>12+20+22</f>
        <v>54</v>
      </c>
      <c r="E256" s="135">
        <v>14.87</v>
      </c>
      <c r="F256" s="135">
        <f t="shared" si="14"/>
        <v>18.59</v>
      </c>
      <c r="G256" s="159">
        <f t="shared" si="15"/>
        <v>1003.86</v>
      </c>
      <c r="H256" s="139"/>
      <c r="I256" s="200"/>
      <c r="J256" s="89"/>
      <c r="K256" s="82"/>
      <c r="L256" s="90"/>
    </row>
    <row r="257" spans="1:12" ht="12.75">
      <c r="A257" s="242"/>
      <c r="B257" s="252" t="s">
        <v>402</v>
      </c>
      <c r="C257" s="250"/>
      <c r="D257" s="142"/>
      <c r="E257" s="135"/>
      <c r="F257" s="135"/>
      <c r="G257" s="159"/>
      <c r="H257" s="139"/>
      <c r="I257" s="200"/>
      <c r="J257" s="89"/>
      <c r="K257" s="82"/>
      <c r="L257" s="90"/>
    </row>
    <row r="258" spans="1:12" s="91" customFormat="1" ht="12.75">
      <c r="A258" s="242" t="s">
        <v>623</v>
      </c>
      <c r="B258" s="251" t="s">
        <v>403</v>
      </c>
      <c r="C258" s="264" t="s">
        <v>18</v>
      </c>
      <c r="D258" s="241">
        <f>6+10+1</f>
        <v>17</v>
      </c>
      <c r="E258" s="135">
        <v>10.12</v>
      </c>
      <c r="F258" s="135">
        <f aca="true" t="shared" si="16" ref="F258:F315">ROUND(E258*$J$1,2)</f>
        <v>12.65</v>
      </c>
      <c r="G258" s="159">
        <f aca="true" t="shared" si="17" ref="G258:G315">ROUND(F258*D258,2)</f>
        <v>215.05</v>
      </c>
      <c r="H258" s="139"/>
      <c r="I258" s="200"/>
      <c r="J258" s="89"/>
      <c r="K258" s="92"/>
      <c r="L258" s="90"/>
    </row>
    <row r="259" spans="1:12" ht="12.75">
      <c r="A259" s="242" t="s">
        <v>624</v>
      </c>
      <c r="B259" s="251" t="s">
        <v>404</v>
      </c>
      <c r="C259" s="250" t="s">
        <v>18</v>
      </c>
      <c r="D259" s="142">
        <f>1+11</f>
        <v>12</v>
      </c>
      <c r="E259" s="135">
        <v>12.09</v>
      </c>
      <c r="F259" s="135">
        <f t="shared" si="16"/>
        <v>15.11</v>
      </c>
      <c r="G259" s="159">
        <f t="shared" si="17"/>
        <v>181.32</v>
      </c>
      <c r="H259" s="139"/>
      <c r="I259" s="200"/>
      <c r="J259" s="89"/>
      <c r="K259" s="82"/>
      <c r="L259" s="93"/>
    </row>
    <row r="260" spans="1:12" s="91" customFormat="1" ht="12.75">
      <c r="A260" s="242" t="s">
        <v>625</v>
      </c>
      <c r="B260" s="251" t="s">
        <v>405</v>
      </c>
      <c r="C260" s="250" t="s">
        <v>18</v>
      </c>
      <c r="D260" s="142">
        <v>1</v>
      </c>
      <c r="E260" s="135">
        <v>13.89</v>
      </c>
      <c r="F260" s="135">
        <f t="shared" si="16"/>
        <v>17.36</v>
      </c>
      <c r="G260" s="159">
        <f t="shared" si="17"/>
        <v>17.36</v>
      </c>
      <c r="H260" s="139"/>
      <c r="I260" s="200"/>
      <c r="J260" s="89"/>
      <c r="K260" s="92"/>
      <c r="L260" s="90"/>
    </row>
    <row r="261" spans="1:12" s="91" customFormat="1" ht="22.5">
      <c r="A261" s="242"/>
      <c r="B261" s="251" t="s">
        <v>406</v>
      </c>
      <c r="C261" s="250"/>
      <c r="D261" s="142"/>
      <c r="E261" s="135"/>
      <c r="F261" s="135"/>
      <c r="G261" s="159"/>
      <c r="H261" s="139"/>
      <c r="I261" s="200"/>
      <c r="J261" s="89"/>
      <c r="K261" s="92"/>
      <c r="L261" s="90"/>
    </row>
    <row r="262" spans="1:12" s="91" customFormat="1" ht="12.75">
      <c r="A262" s="265">
        <v>17100</v>
      </c>
      <c r="B262" s="251" t="s">
        <v>407</v>
      </c>
      <c r="C262" s="264" t="s">
        <v>18</v>
      </c>
      <c r="D262" s="241">
        <f>34+40+45</f>
        <v>119</v>
      </c>
      <c r="E262" s="135">
        <v>0.73</v>
      </c>
      <c r="F262" s="135">
        <f t="shared" si="16"/>
        <v>0.91</v>
      </c>
      <c r="G262" s="159">
        <f t="shared" si="17"/>
        <v>108.29</v>
      </c>
      <c r="H262" s="139"/>
      <c r="I262" s="200"/>
      <c r="J262" s="89"/>
      <c r="K262" s="92"/>
      <c r="L262" s="90"/>
    </row>
    <row r="263" spans="1:12" ht="33.75">
      <c r="A263" s="265">
        <v>17101</v>
      </c>
      <c r="B263" s="252" t="s">
        <v>408</v>
      </c>
      <c r="C263" s="250" t="s">
        <v>18</v>
      </c>
      <c r="D263" s="142">
        <f>36+60+66</f>
        <v>162</v>
      </c>
      <c r="E263" s="135">
        <v>9.98</v>
      </c>
      <c r="F263" s="135">
        <f t="shared" si="16"/>
        <v>12.48</v>
      </c>
      <c r="G263" s="159">
        <f t="shared" si="17"/>
        <v>2021.76</v>
      </c>
      <c r="H263" s="139"/>
      <c r="I263" s="200"/>
      <c r="J263" s="89"/>
      <c r="K263" s="82"/>
      <c r="L263" s="93"/>
    </row>
    <row r="264" spans="1:12" s="91" customFormat="1" ht="33.75">
      <c r="A264" s="265">
        <v>17102</v>
      </c>
      <c r="B264" s="252" t="s">
        <v>409</v>
      </c>
      <c r="C264" s="250" t="s">
        <v>18</v>
      </c>
      <c r="D264" s="142">
        <f>36+60+66+24</f>
        <v>186</v>
      </c>
      <c r="E264" s="135">
        <v>5.89</v>
      </c>
      <c r="F264" s="135">
        <f t="shared" si="16"/>
        <v>7.36</v>
      </c>
      <c r="G264" s="159">
        <f t="shared" si="17"/>
        <v>1368.96</v>
      </c>
      <c r="H264" s="139"/>
      <c r="I264" s="200"/>
      <c r="J264" s="89"/>
      <c r="K264" s="92"/>
      <c r="L264" s="90"/>
    </row>
    <row r="265" spans="1:12" s="91" customFormat="1" ht="12.75">
      <c r="A265" s="265">
        <v>17103</v>
      </c>
      <c r="B265" s="252" t="s">
        <v>410</v>
      </c>
      <c r="C265" s="250" t="s">
        <v>18</v>
      </c>
      <c r="D265" s="142">
        <f>4+3+3</f>
        <v>10</v>
      </c>
      <c r="E265" s="135">
        <v>22.63</v>
      </c>
      <c r="F265" s="135">
        <f t="shared" si="16"/>
        <v>28.29</v>
      </c>
      <c r="G265" s="159">
        <f t="shared" si="17"/>
        <v>282.9</v>
      </c>
      <c r="H265" s="139"/>
      <c r="I265" s="200"/>
      <c r="J265" s="89"/>
      <c r="K265" s="92"/>
      <c r="L265" s="90"/>
    </row>
    <row r="266" spans="1:12" ht="22.5">
      <c r="A266" s="242"/>
      <c r="B266" s="251" t="s">
        <v>411</v>
      </c>
      <c r="C266" s="250"/>
      <c r="D266" s="142"/>
      <c r="E266" s="135"/>
      <c r="F266" s="135"/>
      <c r="G266" s="159"/>
      <c r="H266" s="139"/>
      <c r="I266" s="200"/>
      <c r="J266" s="89"/>
      <c r="K266" s="82"/>
      <c r="L266" s="90"/>
    </row>
    <row r="267" spans="1:12" ht="12.75">
      <c r="A267" s="265">
        <v>17104</v>
      </c>
      <c r="B267" s="251" t="s">
        <v>412</v>
      </c>
      <c r="C267" s="250" t="s">
        <v>18</v>
      </c>
      <c r="D267" s="142">
        <f>12+15+4</f>
        <v>31</v>
      </c>
      <c r="E267" s="135">
        <v>31.19</v>
      </c>
      <c r="F267" s="135">
        <f t="shared" si="16"/>
        <v>38.99</v>
      </c>
      <c r="G267" s="159">
        <f t="shared" si="17"/>
        <v>1208.69</v>
      </c>
      <c r="H267" s="139"/>
      <c r="I267" s="200"/>
      <c r="J267" s="89"/>
      <c r="K267" s="82"/>
      <c r="L267" s="90"/>
    </row>
    <row r="268" spans="1:12" ht="12.75">
      <c r="A268" s="265">
        <v>17105</v>
      </c>
      <c r="B268" s="251" t="s">
        <v>431</v>
      </c>
      <c r="C268" s="250" t="s">
        <v>18</v>
      </c>
      <c r="D268" s="142">
        <f>32+32</f>
        <v>64</v>
      </c>
      <c r="E268" s="135">
        <v>24.41</v>
      </c>
      <c r="F268" s="135">
        <f t="shared" si="16"/>
        <v>30.51</v>
      </c>
      <c r="G268" s="159">
        <f t="shared" si="17"/>
        <v>1952.64</v>
      </c>
      <c r="H268" s="139"/>
      <c r="I268" s="200"/>
      <c r="J268" s="89"/>
      <c r="K268" s="82"/>
      <c r="L268" s="90"/>
    </row>
    <row r="269" spans="1:12" ht="12.75">
      <c r="A269" s="242"/>
      <c r="B269" s="251" t="s">
        <v>413</v>
      </c>
      <c r="C269" s="250"/>
      <c r="D269" s="142"/>
      <c r="E269" s="135"/>
      <c r="F269" s="135"/>
      <c r="G269" s="159"/>
      <c r="H269" s="139"/>
      <c r="I269" s="200"/>
      <c r="J269" s="89"/>
      <c r="K269" s="82"/>
      <c r="L269" s="90"/>
    </row>
    <row r="270" spans="1:12" ht="12.75">
      <c r="A270" s="265">
        <v>17106</v>
      </c>
      <c r="B270" s="251" t="s">
        <v>412</v>
      </c>
      <c r="C270" s="250" t="s">
        <v>18</v>
      </c>
      <c r="D270" s="142">
        <f>8+6+2</f>
        <v>16</v>
      </c>
      <c r="E270" s="135">
        <v>9.63</v>
      </c>
      <c r="F270" s="135">
        <f t="shared" si="16"/>
        <v>12.04</v>
      </c>
      <c r="G270" s="159">
        <f t="shared" si="17"/>
        <v>192.64</v>
      </c>
      <c r="H270" s="139"/>
      <c r="I270" s="200"/>
      <c r="J270" s="89"/>
      <c r="K270" s="82"/>
      <c r="L270" s="90"/>
    </row>
    <row r="271" spans="1:12" ht="12.75">
      <c r="A271" s="265">
        <v>17107</v>
      </c>
      <c r="B271" s="251" t="s">
        <v>431</v>
      </c>
      <c r="C271" s="250" t="s">
        <v>18</v>
      </c>
      <c r="D271" s="142">
        <f>16+16</f>
        <v>32</v>
      </c>
      <c r="E271" s="135">
        <v>12.05</v>
      </c>
      <c r="F271" s="135">
        <f t="shared" si="16"/>
        <v>15.06</v>
      </c>
      <c r="G271" s="159">
        <f t="shared" si="17"/>
        <v>481.92</v>
      </c>
      <c r="H271" s="139"/>
      <c r="I271" s="200"/>
      <c r="J271" s="89"/>
      <c r="K271" s="82"/>
      <c r="L271" s="90"/>
    </row>
    <row r="272" spans="1:12" s="91" customFormat="1" ht="12.75">
      <c r="A272" s="242"/>
      <c r="B272" s="251" t="s">
        <v>414</v>
      </c>
      <c r="C272" s="264"/>
      <c r="D272" s="241"/>
      <c r="E272" s="135"/>
      <c r="F272" s="135"/>
      <c r="G272" s="159"/>
      <c r="H272" s="139"/>
      <c r="I272" s="200"/>
      <c r="J272" s="89"/>
      <c r="K272" s="92"/>
      <c r="L272" s="90"/>
    </row>
    <row r="273" spans="1:12" ht="12.75">
      <c r="A273" s="265">
        <v>17108</v>
      </c>
      <c r="B273" s="251" t="s">
        <v>412</v>
      </c>
      <c r="C273" s="250" t="s">
        <v>18</v>
      </c>
      <c r="D273" s="142">
        <f>1+3</f>
        <v>4</v>
      </c>
      <c r="E273" s="135">
        <v>21.72</v>
      </c>
      <c r="F273" s="135">
        <f t="shared" si="16"/>
        <v>27.15</v>
      </c>
      <c r="G273" s="159">
        <f t="shared" si="17"/>
        <v>108.6</v>
      </c>
      <c r="H273" s="139"/>
      <c r="I273" s="200"/>
      <c r="J273" s="89"/>
      <c r="K273" s="82"/>
      <c r="L273" s="93"/>
    </row>
    <row r="274" spans="1:12" ht="12.75">
      <c r="A274" s="265">
        <v>17109</v>
      </c>
      <c r="B274" s="251" t="s">
        <v>431</v>
      </c>
      <c r="C274" s="250" t="s">
        <v>18</v>
      </c>
      <c r="D274" s="142">
        <f>5+2</f>
        <v>7</v>
      </c>
      <c r="E274" s="135">
        <v>21.72</v>
      </c>
      <c r="F274" s="135">
        <f t="shared" si="16"/>
        <v>27.15</v>
      </c>
      <c r="G274" s="159">
        <f t="shared" si="17"/>
        <v>190.05</v>
      </c>
      <c r="H274" s="139"/>
      <c r="I274" s="200"/>
      <c r="J274" s="89"/>
      <c r="K274" s="82"/>
      <c r="L274" s="90"/>
    </row>
    <row r="275" spans="1:12" s="91" customFormat="1" ht="12.75">
      <c r="A275" s="242"/>
      <c r="B275" s="251" t="s">
        <v>415</v>
      </c>
      <c r="C275" s="250"/>
      <c r="D275" s="142"/>
      <c r="E275" s="135"/>
      <c r="F275" s="135"/>
      <c r="G275" s="159"/>
      <c r="H275" s="139"/>
      <c r="I275" s="200"/>
      <c r="J275" s="89"/>
      <c r="K275" s="92"/>
      <c r="L275" s="90"/>
    </row>
    <row r="276" spans="1:12" s="91" customFormat="1" ht="12.75">
      <c r="A276" s="265">
        <v>17110</v>
      </c>
      <c r="B276" s="251" t="s">
        <v>412</v>
      </c>
      <c r="C276" s="250" t="s">
        <v>18</v>
      </c>
      <c r="D276" s="142">
        <f>1+1</f>
        <v>2</v>
      </c>
      <c r="E276" s="135">
        <v>28.72</v>
      </c>
      <c r="F276" s="135">
        <f t="shared" si="16"/>
        <v>35.9</v>
      </c>
      <c r="G276" s="159">
        <f t="shared" si="17"/>
        <v>71.8</v>
      </c>
      <c r="H276" s="139"/>
      <c r="I276" s="200"/>
      <c r="J276" s="89"/>
      <c r="K276" s="92"/>
      <c r="L276" s="90"/>
    </row>
    <row r="277" spans="1:12" ht="12.75">
      <c r="A277" s="265">
        <v>17111</v>
      </c>
      <c r="B277" s="251" t="s">
        <v>431</v>
      </c>
      <c r="C277" s="250" t="s">
        <v>18</v>
      </c>
      <c r="D277" s="142">
        <f>2+4</f>
        <v>6</v>
      </c>
      <c r="E277" s="135">
        <v>28.72</v>
      </c>
      <c r="F277" s="135">
        <f t="shared" si="16"/>
        <v>35.9</v>
      </c>
      <c r="G277" s="159">
        <f t="shared" si="17"/>
        <v>215.4</v>
      </c>
      <c r="H277" s="139"/>
      <c r="I277" s="200"/>
      <c r="J277" s="89"/>
      <c r="K277" s="82"/>
      <c r="L277" s="90"/>
    </row>
    <row r="278" spans="1:12" s="91" customFormat="1" ht="12.75">
      <c r="A278" s="242"/>
      <c r="B278" s="251" t="s">
        <v>416</v>
      </c>
      <c r="C278" s="250"/>
      <c r="D278" s="142"/>
      <c r="E278" s="135"/>
      <c r="F278" s="135"/>
      <c r="G278" s="159"/>
      <c r="H278" s="139"/>
      <c r="I278" s="200"/>
      <c r="J278" s="89"/>
      <c r="K278" s="92"/>
      <c r="L278" s="90"/>
    </row>
    <row r="279" spans="1:12" s="91" customFormat="1" ht="12.75">
      <c r="A279" s="265">
        <v>17112</v>
      </c>
      <c r="B279" s="251" t="s">
        <v>412</v>
      </c>
      <c r="C279" s="264" t="s">
        <v>18</v>
      </c>
      <c r="D279" s="241">
        <f>1+11</f>
        <v>12</v>
      </c>
      <c r="E279" s="135">
        <v>27.62</v>
      </c>
      <c r="F279" s="135">
        <f t="shared" si="16"/>
        <v>34.53</v>
      </c>
      <c r="G279" s="159">
        <f t="shared" si="17"/>
        <v>414.36</v>
      </c>
      <c r="H279" s="139"/>
      <c r="I279" s="200"/>
      <c r="J279" s="89"/>
      <c r="K279" s="92"/>
      <c r="L279" s="90"/>
    </row>
    <row r="280" spans="1:12" ht="22.5">
      <c r="A280" s="242"/>
      <c r="B280" s="251" t="s">
        <v>417</v>
      </c>
      <c r="C280" s="250"/>
      <c r="D280" s="142"/>
      <c r="E280" s="135"/>
      <c r="F280" s="135"/>
      <c r="G280" s="159"/>
      <c r="H280" s="139"/>
      <c r="I280" s="200"/>
      <c r="J280" s="89"/>
      <c r="K280" s="82"/>
      <c r="L280" s="93"/>
    </row>
    <row r="281" spans="1:12" s="91" customFormat="1" ht="12.75">
      <c r="A281" s="265">
        <v>17113</v>
      </c>
      <c r="B281" s="251" t="s">
        <v>412</v>
      </c>
      <c r="C281" s="250" t="s">
        <v>18</v>
      </c>
      <c r="D281" s="142">
        <v>1</v>
      </c>
      <c r="E281" s="135">
        <v>23.78</v>
      </c>
      <c r="F281" s="135">
        <f t="shared" si="16"/>
        <v>29.73</v>
      </c>
      <c r="G281" s="159">
        <f t="shared" si="17"/>
        <v>29.73</v>
      </c>
      <c r="H281" s="139"/>
      <c r="I281" s="200"/>
      <c r="J281" s="89"/>
      <c r="K281" s="92"/>
      <c r="L281" s="90"/>
    </row>
    <row r="282" spans="1:12" s="91" customFormat="1" ht="12.75">
      <c r="A282" s="242"/>
      <c r="B282" s="251" t="s">
        <v>418</v>
      </c>
      <c r="C282" s="250"/>
      <c r="D282" s="142"/>
      <c r="E282" s="135"/>
      <c r="F282" s="135"/>
      <c r="G282" s="159"/>
      <c r="H282" s="139"/>
      <c r="I282" s="200"/>
      <c r="J282" s="89"/>
      <c r="K282" s="92"/>
      <c r="L282" s="90"/>
    </row>
    <row r="283" spans="1:12" ht="12.75">
      <c r="A283" s="265">
        <v>17114</v>
      </c>
      <c r="B283" s="251" t="s">
        <v>412</v>
      </c>
      <c r="C283" s="250" t="s">
        <v>18</v>
      </c>
      <c r="D283" s="142">
        <v>1</v>
      </c>
      <c r="E283" s="135">
        <v>33.67</v>
      </c>
      <c r="F283" s="135">
        <f t="shared" si="16"/>
        <v>42.09</v>
      </c>
      <c r="G283" s="159">
        <f t="shared" si="17"/>
        <v>42.09</v>
      </c>
      <c r="H283" s="139"/>
      <c r="I283" s="200"/>
      <c r="J283" s="89"/>
      <c r="K283" s="82"/>
      <c r="L283" s="90"/>
    </row>
    <row r="284" spans="1:12" ht="12.75">
      <c r="A284" s="242"/>
      <c r="B284" s="251" t="s">
        <v>419</v>
      </c>
      <c r="C284" s="250"/>
      <c r="D284" s="142"/>
      <c r="E284" s="135"/>
      <c r="F284" s="135"/>
      <c r="G284" s="159"/>
      <c r="H284" s="139"/>
      <c r="I284" s="200"/>
      <c r="J284" s="89"/>
      <c r="K284" s="82"/>
      <c r="L284" s="90"/>
    </row>
    <row r="285" spans="1:12" ht="12.75">
      <c r="A285" s="265">
        <v>17115</v>
      </c>
      <c r="B285" s="251" t="s">
        <v>412</v>
      </c>
      <c r="C285" s="250" t="s">
        <v>18</v>
      </c>
      <c r="D285" s="142">
        <v>2</v>
      </c>
      <c r="E285" s="135">
        <v>11.04</v>
      </c>
      <c r="F285" s="135">
        <f t="shared" si="16"/>
        <v>13.8</v>
      </c>
      <c r="G285" s="159">
        <f t="shared" si="17"/>
        <v>27.6</v>
      </c>
      <c r="H285" s="139"/>
      <c r="I285" s="200"/>
      <c r="J285" s="89"/>
      <c r="K285" s="82"/>
      <c r="L285" s="90"/>
    </row>
    <row r="286" spans="1:12" s="91" customFormat="1" ht="22.5">
      <c r="A286" s="265">
        <v>17116</v>
      </c>
      <c r="B286" s="252" t="s">
        <v>423</v>
      </c>
      <c r="C286" s="250" t="s">
        <v>18</v>
      </c>
      <c r="D286" s="142">
        <v>6</v>
      </c>
      <c r="E286" s="135">
        <v>14.55</v>
      </c>
      <c r="F286" s="135">
        <f t="shared" si="16"/>
        <v>18.19</v>
      </c>
      <c r="G286" s="159">
        <f t="shared" si="17"/>
        <v>109.14</v>
      </c>
      <c r="H286" s="139"/>
      <c r="I286" s="200"/>
      <c r="J286" s="89"/>
      <c r="K286" s="92"/>
      <c r="L286" s="90"/>
    </row>
    <row r="287" spans="1:12" s="91" customFormat="1" ht="33.75">
      <c r="A287" s="242"/>
      <c r="B287" s="251" t="s">
        <v>424</v>
      </c>
      <c r="C287" s="264"/>
      <c r="D287" s="241"/>
      <c r="E287" s="135"/>
      <c r="F287" s="135"/>
      <c r="G287" s="159"/>
      <c r="H287" s="139"/>
      <c r="I287" s="200"/>
      <c r="J287" s="89"/>
      <c r="K287" s="92"/>
      <c r="L287" s="90"/>
    </row>
    <row r="288" spans="1:12" ht="12.75">
      <c r="A288" s="265">
        <v>17117</v>
      </c>
      <c r="B288" s="251" t="s">
        <v>412</v>
      </c>
      <c r="C288" s="250" t="s">
        <v>18</v>
      </c>
      <c r="D288" s="142">
        <v>24</v>
      </c>
      <c r="E288" s="135">
        <v>13.02</v>
      </c>
      <c r="F288" s="135">
        <f t="shared" si="16"/>
        <v>16.28</v>
      </c>
      <c r="G288" s="159">
        <f t="shared" si="17"/>
        <v>390.72</v>
      </c>
      <c r="H288" s="139"/>
      <c r="I288" s="200"/>
      <c r="J288" s="89"/>
      <c r="K288" s="82"/>
      <c r="L288" s="93"/>
    </row>
    <row r="289" spans="1:12" s="91" customFormat="1" ht="12.75">
      <c r="A289" s="265">
        <v>17118</v>
      </c>
      <c r="B289" s="252" t="s">
        <v>410</v>
      </c>
      <c r="C289" s="150" t="s">
        <v>18</v>
      </c>
      <c r="D289" s="142">
        <v>1</v>
      </c>
      <c r="E289" s="135">
        <v>67.89</v>
      </c>
      <c r="F289" s="135">
        <f t="shared" si="16"/>
        <v>84.86</v>
      </c>
      <c r="G289" s="159">
        <f t="shared" si="17"/>
        <v>84.86</v>
      </c>
      <c r="H289" s="139"/>
      <c r="I289" s="200"/>
      <c r="J289" s="89"/>
      <c r="K289" s="92"/>
      <c r="L289" s="90"/>
    </row>
    <row r="290" spans="1:12" ht="12.75">
      <c r="A290" s="242"/>
      <c r="B290" s="251" t="s">
        <v>432</v>
      </c>
      <c r="C290" s="250"/>
      <c r="D290" s="142"/>
      <c r="E290" s="135"/>
      <c r="F290" s="135"/>
      <c r="G290" s="159"/>
      <c r="H290" s="139"/>
      <c r="I290" s="200"/>
      <c r="J290" s="89"/>
      <c r="K290" s="82"/>
      <c r="L290" s="90"/>
    </row>
    <row r="291" spans="1:12" ht="12.75">
      <c r="A291" s="265">
        <v>17119</v>
      </c>
      <c r="B291" s="251" t="s">
        <v>431</v>
      </c>
      <c r="C291" s="250" t="s">
        <v>18</v>
      </c>
      <c r="D291" s="142">
        <f>1+1</f>
        <v>2</v>
      </c>
      <c r="E291" s="135">
        <v>28.72</v>
      </c>
      <c r="F291" s="135">
        <f t="shared" si="16"/>
        <v>35.9</v>
      </c>
      <c r="G291" s="159">
        <f t="shared" si="17"/>
        <v>71.8</v>
      </c>
      <c r="H291" s="139"/>
      <c r="I291" s="200"/>
      <c r="J291" s="89"/>
      <c r="K291" s="82"/>
      <c r="L291" s="90"/>
    </row>
    <row r="292" spans="1:12" s="91" customFormat="1" ht="12.75">
      <c r="A292" s="265">
        <v>17120</v>
      </c>
      <c r="B292" s="251" t="s">
        <v>412</v>
      </c>
      <c r="C292" s="264" t="s">
        <v>18</v>
      </c>
      <c r="D292" s="241">
        <v>2</v>
      </c>
      <c r="E292" s="135">
        <v>28.72</v>
      </c>
      <c r="F292" s="135">
        <f t="shared" si="16"/>
        <v>35.9</v>
      </c>
      <c r="G292" s="159">
        <f t="shared" si="17"/>
        <v>71.8</v>
      </c>
      <c r="H292" s="139"/>
      <c r="I292" s="200"/>
      <c r="J292" s="89"/>
      <c r="K292" s="92"/>
      <c r="L292" s="90"/>
    </row>
    <row r="293" spans="1:12" ht="12.75">
      <c r="A293" s="242"/>
      <c r="B293" s="251" t="s">
        <v>433</v>
      </c>
      <c r="C293" s="250"/>
      <c r="D293" s="142"/>
      <c r="E293" s="135"/>
      <c r="F293" s="135"/>
      <c r="G293" s="159"/>
      <c r="H293" s="139"/>
      <c r="I293" s="200"/>
      <c r="J293" s="89"/>
      <c r="K293" s="82"/>
      <c r="L293" s="93"/>
    </row>
    <row r="294" spans="1:12" s="91" customFormat="1" ht="12.75">
      <c r="A294" s="265">
        <v>17121</v>
      </c>
      <c r="B294" s="251" t="s">
        <v>434</v>
      </c>
      <c r="C294" s="250" t="s">
        <v>18</v>
      </c>
      <c r="D294" s="142">
        <v>4</v>
      </c>
      <c r="E294" s="135">
        <v>44.24</v>
      </c>
      <c r="F294" s="135">
        <f t="shared" si="16"/>
        <v>55.3</v>
      </c>
      <c r="G294" s="159">
        <f t="shared" si="17"/>
        <v>221.2</v>
      </c>
      <c r="H294" s="139"/>
      <c r="I294" s="200"/>
      <c r="J294" s="89"/>
      <c r="K294" s="92"/>
      <c r="L294" s="90"/>
    </row>
    <row r="295" spans="1:12" s="91" customFormat="1" ht="12.75">
      <c r="A295" s="242"/>
      <c r="B295" s="251" t="s">
        <v>419</v>
      </c>
      <c r="C295" s="250"/>
      <c r="D295" s="142"/>
      <c r="E295" s="135"/>
      <c r="F295" s="135"/>
      <c r="G295" s="159"/>
      <c r="H295" s="139"/>
      <c r="I295" s="200"/>
      <c r="J295" s="89"/>
      <c r="K295" s="92"/>
      <c r="L295" s="90"/>
    </row>
    <row r="296" spans="1:12" s="91" customFormat="1" ht="12.75">
      <c r="A296" s="265">
        <v>17122</v>
      </c>
      <c r="B296" s="251" t="s">
        <v>431</v>
      </c>
      <c r="C296" s="264" t="s">
        <v>18</v>
      </c>
      <c r="D296" s="241">
        <v>2</v>
      </c>
      <c r="E296" s="135">
        <v>11.04</v>
      </c>
      <c r="F296" s="135">
        <f t="shared" si="16"/>
        <v>13.8</v>
      </c>
      <c r="G296" s="159">
        <f t="shared" si="17"/>
        <v>27.6</v>
      </c>
      <c r="H296" s="139"/>
      <c r="I296" s="200"/>
      <c r="J296" s="89"/>
      <c r="K296" s="92"/>
      <c r="L296" s="90"/>
    </row>
    <row r="297" spans="1:12" ht="12.75">
      <c r="A297" s="265">
        <v>17123</v>
      </c>
      <c r="B297" s="251" t="s">
        <v>412</v>
      </c>
      <c r="C297" s="250" t="s">
        <v>18</v>
      </c>
      <c r="D297" s="142">
        <v>1</v>
      </c>
      <c r="E297" s="135">
        <v>11.04</v>
      </c>
      <c r="F297" s="135">
        <f t="shared" si="16"/>
        <v>13.8</v>
      </c>
      <c r="G297" s="159">
        <f t="shared" si="17"/>
        <v>13.8</v>
      </c>
      <c r="H297" s="139"/>
      <c r="I297" s="200"/>
      <c r="J297" s="89"/>
      <c r="K297" s="82"/>
      <c r="L297" s="93"/>
    </row>
    <row r="298" spans="1:12" s="91" customFormat="1" ht="22.5">
      <c r="A298" s="242"/>
      <c r="B298" s="251" t="s">
        <v>420</v>
      </c>
      <c r="C298" s="250"/>
      <c r="D298" s="142"/>
      <c r="E298" s="135"/>
      <c r="F298" s="135"/>
      <c r="G298" s="159"/>
      <c r="H298" s="139"/>
      <c r="I298" s="200"/>
      <c r="J298" s="89"/>
      <c r="K298" s="92"/>
      <c r="L298" s="90"/>
    </row>
    <row r="299" spans="1:12" s="91" customFormat="1" ht="12.75">
      <c r="A299" s="265">
        <v>17124</v>
      </c>
      <c r="B299" s="251" t="s">
        <v>412</v>
      </c>
      <c r="C299" s="250" t="s">
        <v>18</v>
      </c>
      <c r="D299" s="142">
        <f>2+1</f>
        <v>3</v>
      </c>
      <c r="E299" s="135">
        <v>14.55</v>
      </c>
      <c r="F299" s="135">
        <f t="shared" si="16"/>
        <v>18.19</v>
      </c>
      <c r="G299" s="159">
        <f t="shared" si="17"/>
        <v>54.57</v>
      </c>
      <c r="H299" s="139"/>
      <c r="I299" s="200"/>
      <c r="J299" s="89"/>
      <c r="K299" s="92"/>
      <c r="L299" s="90"/>
    </row>
    <row r="300" spans="1:12" ht="22.5">
      <c r="A300" s="242"/>
      <c r="B300" s="251" t="s">
        <v>421</v>
      </c>
      <c r="C300" s="250"/>
      <c r="D300" s="142"/>
      <c r="E300" s="135"/>
      <c r="F300" s="135"/>
      <c r="G300" s="159"/>
      <c r="H300" s="139"/>
      <c r="I300" s="200"/>
      <c r="J300" s="89"/>
      <c r="K300" s="82"/>
      <c r="L300" s="90"/>
    </row>
    <row r="301" spans="1:12" ht="12.75">
      <c r="A301" s="265">
        <v>17125</v>
      </c>
      <c r="B301" s="251" t="s">
        <v>422</v>
      </c>
      <c r="C301" s="250" t="s">
        <v>18</v>
      </c>
      <c r="D301" s="142">
        <f>3020+1795+580</f>
        <v>5395</v>
      </c>
      <c r="E301" s="135">
        <v>0.12</v>
      </c>
      <c r="F301" s="135">
        <f t="shared" si="16"/>
        <v>0.15</v>
      </c>
      <c r="G301" s="159">
        <f t="shared" si="17"/>
        <v>809.25</v>
      </c>
      <c r="H301" s="139"/>
      <c r="I301" s="200"/>
      <c r="J301" s="89"/>
      <c r="K301" s="82"/>
      <c r="L301" s="90"/>
    </row>
    <row r="302" spans="1:12" ht="22.5">
      <c r="A302" s="265">
        <v>17126</v>
      </c>
      <c r="B302" s="252" t="s">
        <v>423</v>
      </c>
      <c r="C302" s="250" t="s">
        <v>18</v>
      </c>
      <c r="D302" s="142">
        <v>15</v>
      </c>
      <c r="E302" s="135">
        <v>16</v>
      </c>
      <c r="F302" s="135">
        <f t="shared" si="16"/>
        <v>20</v>
      </c>
      <c r="G302" s="159">
        <f t="shared" si="17"/>
        <v>300</v>
      </c>
      <c r="H302" s="139"/>
      <c r="I302" s="200"/>
      <c r="J302" s="89"/>
      <c r="K302" s="82"/>
      <c r="L302" s="90"/>
    </row>
    <row r="303" spans="1:12" ht="33.75">
      <c r="A303" s="242"/>
      <c r="B303" s="251" t="s">
        <v>424</v>
      </c>
      <c r="C303" s="250"/>
      <c r="D303" s="142"/>
      <c r="E303" s="135"/>
      <c r="F303" s="135"/>
      <c r="G303" s="159"/>
      <c r="H303" s="139"/>
      <c r="I303" s="200"/>
      <c r="J303" s="89"/>
      <c r="K303" s="82"/>
      <c r="L303" s="90"/>
    </row>
    <row r="304" spans="1:12" s="91" customFormat="1" ht="12.75">
      <c r="A304" s="265">
        <v>17127</v>
      </c>
      <c r="B304" s="251" t="s">
        <v>431</v>
      </c>
      <c r="C304" s="264" t="s">
        <v>18</v>
      </c>
      <c r="D304" s="241">
        <f>64+64</f>
        <v>128</v>
      </c>
      <c r="E304" s="135">
        <v>13.02</v>
      </c>
      <c r="F304" s="135">
        <f t="shared" si="16"/>
        <v>16.28</v>
      </c>
      <c r="G304" s="159">
        <f t="shared" si="17"/>
        <v>2083.84</v>
      </c>
      <c r="H304" s="139"/>
      <c r="I304" s="200"/>
      <c r="J304" s="89"/>
      <c r="K304" s="92"/>
      <c r="L304" s="90"/>
    </row>
    <row r="305" spans="1:12" ht="12.75">
      <c r="A305" s="265">
        <v>17128</v>
      </c>
      <c r="B305" s="251" t="s">
        <v>412</v>
      </c>
      <c r="C305" s="250" t="s">
        <v>18</v>
      </c>
      <c r="D305" s="142">
        <f>30+8</f>
        <v>38</v>
      </c>
      <c r="E305" s="135">
        <v>13.02</v>
      </c>
      <c r="F305" s="135">
        <f t="shared" si="16"/>
        <v>16.28</v>
      </c>
      <c r="G305" s="159">
        <f t="shared" si="17"/>
        <v>618.64</v>
      </c>
      <c r="H305" s="139"/>
      <c r="I305" s="200"/>
      <c r="J305" s="89"/>
      <c r="K305" s="82"/>
      <c r="L305" s="93"/>
    </row>
    <row r="306" spans="1:12" s="91" customFormat="1" ht="33.75">
      <c r="A306" s="265">
        <v>17129</v>
      </c>
      <c r="B306" s="252" t="s">
        <v>409</v>
      </c>
      <c r="C306" s="250" t="s">
        <v>18</v>
      </c>
      <c r="D306" s="142">
        <f>94+72</f>
        <v>166</v>
      </c>
      <c r="E306" s="135">
        <v>5.89</v>
      </c>
      <c r="F306" s="135">
        <f t="shared" si="16"/>
        <v>7.36</v>
      </c>
      <c r="G306" s="159">
        <f t="shared" si="17"/>
        <v>1221.76</v>
      </c>
      <c r="H306" s="139"/>
      <c r="I306" s="200"/>
      <c r="J306" s="89"/>
      <c r="K306" s="92"/>
      <c r="L306" s="90"/>
    </row>
    <row r="307" spans="1:12" s="91" customFormat="1" ht="12.75">
      <c r="A307" s="265">
        <v>17130</v>
      </c>
      <c r="B307" s="252" t="s">
        <v>410</v>
      </c>
      <c r="C307" s="250" t="s">
        <v>18</v>
      </c>
      <c r="D307" s="142">
        <v>4</v>
      </c>
      <c r="E307" s="135">
        <v>67.89</v>
      </c>
      <c r="F307" s="135">
        <f t="shared" si="16"/>
        <v>84.86</v>
      </c>
      <c r="G307" s="159">
        <f t="shared" si="17"/>
        <v>339.44</v>
      </c>
      <c r="H307" s="139"/>
      <c r="I307" s="200"/>
      <c r="J307" s="89"/>
      <c r="K307" s="92"/>
      <c r="L307" s="90"/>
    </row>
    <row r="308" spans="1:12" ht="12.75">
      <c r="A308" s="242"/>
      <c r="B308" s="262" t="s">
        <v>378</v>
      </c>
      <c r="C308" s="150"/>
      <c r="D308" s="142"/>
      <c r="E308" s="135"/>
      <c r="F308" s="135"/>
      <c r="G308" s="159"/>
      <c r="H308" s="139"/>
      <c r="I308" s="200"/>
      <c r="J308" s="89"/>
      <c r="K308" s="82"/>
      <c r="L308" s="90"/>
    </row>
    <row r="309" spans="1:12" ht="45">
      <c r="A309" s="242"/>
      <c r="B309" s="252" t="s">
        <v>425</v>
      </c>
      <c r="C309" s="150"/>
      <c r="D309" s="142"/>
      <c r="E309" s="135"/>
      <c r="F309" s="135"/>
      <c r="G309" s="159"/>
      <c r="H309" s="139"/>
      <c r="I309" s="200"/>
      <c r="J309" s="89"/>
      <c r="K309" s="82"/>
      <c r="L309" s="90"/>
    </row>
    <row r="310" spans="1:12" ht="12.75">
      <c r="A310" s="265">
        <v>17131</v>
      </c>
      <c r="B310" s="252" t="s">
        <v>426</v>
      </c>
      <c r="C310" s="150" t="s">
        <v>18</v>
      </c>
      <c r="D310" s="142">
        <v>1</v>
      </c>
      <c r="E310" s="135">
        <v>196.77</v>
      </c>
      <c r="F310" s="135">
        <f t="shared" si="16"/>
        <v>245.96</v>
      </c>
      <c r="G310" s="159">
        <f t="shared" si="17"/>
        <v>245.96</v>
      </c>
      <c r="H310" s="139"/>
      <c r="I310" s="200"/>
      <c r="J310" s="89"/>
      <c r="K310" s="82"/>
      <c r="L310" s="90"/>
    </row>
    <row r="311" spans="1:12" ht="45">
      <c r="A311" s="242"/>
      <c r="B311" s="251" t="s">
        <v>425</v>
      </c>
      <c r="C311" s="250"/>
      <c r="D311" s="142"/>
      <c r="E311" s="135"/>
      <c r="F311" s="135"/>
      <c r="G311" s="159"/>
      <c r="H311" s="139"/>
      <c r="I311" s="200"/>
      <c r="J311" s="89"/>
      <c r="K311" s="82"/>
      <c r="L311" s="90"/>
    </row>
    <row r="312" spans="1:12" ht="12.75">
      <c r="A312" s="265">
        <v>17132</v>
      </c>
      <c r="B312" s="251" t="s">
        <v>435</v>
      </c>
      <c r="C312" s="250" t="s">
        <v>18</v>
      </c>
      <c r="D312" s="142">
        <v>1</v>
      </c>
      <c r="E312" s="135">
        <v>1224.47</v>
      </c>
      <c r="F312" s="135">
        <f t="shared" si="16"/>
        <v>1530.59</v>
      </c>
      <c r="G312" s="159">
        <f t="shared" si="17"/>
        <v>1530.59</v>
      </c>
      <c r="H312" s="139"/>
      <c r="I312" s="200"/>
      <c r="J312" s="89"/>
      <c r="K312" s="82"/>
      <c r="L312" s="90"/>
    </row>
    <row r="313" spans="1:12" s="91" customFormat="1" ht="12.75">
      <c r="A313" s="265">
        <v>17133</v>
      </c>
      <c r="B313" s="251" t="s">
        <v>436</v>
      </c>
      <c r="C313" s="264" t="s">
        <v>18</v>
      </c>
      <c r="D313" s="241">
        <v>1</v>
      </c>
      <c r="E313" s="135">
        <v>146.27</v>
      </c>
      <c r="F313" s="135">
        <f t="shared" si="16"/>
        <v>182.84</v>
      </c>
      <c r="G313" s="159">
        <f t="shared" si="17"/>
        <v>182.84</v>
      </c>
      <c r="H313" s="139"/>
      <c r="I313" s="200"/>
      <c r="J313" s="89"/>
      <c r="K313" s="92"/>
      <c r="L313" s="90"/>
    </row>
    <row r="314" spans="1:12" ht="45">
      <c r="A314" s="242"/>
      <c r="B314" s="251" t="s">
        <v>425</v>
      </c>
      <c r="C314" s="250"/>
      <c r="D314" s="142"/>
      <c r="E314" s="135"/>
      <c r="F314" s="135"/>
      <c r="G314" s="159"/>
      <c r="H314" s="139"/>
      <c r="I314" s="200"/>
      <c r="J314" s="89"/>
      <c r="K314" s="82"/>
      <c r="L314" s="93"/>
    </row>
    <row r="315" spans="1:12" s="91" customFormat="1" ht="12.75">
      <c r="A315" s="265">
        <v>17134</v>
      </c>
      <c r="B315" s="251" t="s">
        <v>437</v>
      </c>
      <c r="C315" s="250" t="s">
        <v>18</v>
      </c>
      <c r="D315" s="142">
        <v>1</v>
      </c>
      <c r="E315" s="135">
        <v>1224.47</v>
      </c>
      <c r="F315" s="135">
        <f t="shared" si="16"/>
        <v>1530.59</v>
      </c>
      <c r="G315" s="159">
        <f t="shared" si="17"/>
        <v>1530.59</v>
      </c>
      <c r="H315" s="139"/>
      <c r="I315" s="200"/>
      <c r="J315" s="89"/>
      <c r="K315" s="92"/>
      <c r="L315" s="90"/>
    </row>
    <row r="316" spans="1:12" ht="12.75">
      <c r="A316" s="265">
        <v>17135</v>
      </c>
      <c r="B316" s="251" t="s">
        <v>523</v>
      </c>
      <c r="C316" s="250" t="s">
        <v>12</v>
      </c>
      <c r="D316" s="142">
        <v>2240</v>
      </c>
      <c r="E316" s="135">
        <v>8.02</v>
      </c>
      <c r="F316" s="135">
        <f>ROUND(E316*$J$1,2)</f>
        <v>10.03</v>
      </c>
      <c r="G316" s="159">
        <f>ROUND(F316*D316,2)</f>
        <v>22467.2</v>
      </c>
      <c r="H316" s="139"/>
      <c r="I316" s="200"/>
      <c r="J316" s="89"/>
      <c r="K316" s="82"/>
      <c r="L316" s="90"/>
    </row>
    <row r="317" spans="1:12" s="91" customFormat="1" ht="12.75">
      <c r="A317" s="265">
        <v>17136</v>
      </c>
      <c r="B317" s="251" t="s">
        <v>524</v>
      </c>
      <c r="C317" s="264" t="s">
        <v>18</v>
      </c>
      <c r="D317" s="241">
        <v>240</v>
      </c>
      <c r="E317" s="135">
        <f>15.2+8.78</f>
        <v>23.979999999999997</v>
      </c>
      <c r="F317" s="135">
        <f>ROUND(E317*$J$1,2)</f>
        <v>29.98</v>
      </c>
      <c r="G317" s="159">
        <f>ROUND(F317*D317,2)</f>
        <v>7195.2</v>
      </c>
      <c r="H317" s="139"/>
      <c r="I317" s="200" t="s">
        <v>525</v>
      </c>
      <c r="J317" s="89"/>
      <c r="K317" s="92"/>
      <c r="L317" s="90"/>
    </row>
    <row r="318" spans="1:12" ht="12.75">
      <c r="A318" s="265">
        <v>17137</v>
      </c>
      <c r="B318" s="251" t="s">
        <v>527</v>
      </c>
      <c r="C318" s="250" t="s">
        <v>18</v>
      </c>
      <c r="D318" s="142">
        <v>50</v>
      </c>
      <c r="E318" s="135">
        <v>9.42</v>
      </c>
      <c r="F318" s="135">
        <f>ROUND(E318*$J$1,2)</f>
        <v>11.78</v>
      </c>
      <c r="G318" s="159">
        <f>ROUND(F318*D318,2)</f>
        <v>589</v>
      </c>
      <c r="H318" s="139"/>
      <c r="I318" s="200" t="s">
        <v>526</v>
      </c>
      <c r="J318" s="89"/>
      <c r="K318" s="82"/>
      <c r="L318" s="90"/>
    </row>
    <row r="319" spans="1:12" s="91" customFormat="1" ht="22.5">
      <c r="A319" s="265">
        <v>17138</v>
      </c>
      <c r="B319" s="251" t="s">
        <v>528</v>
      </c>
      <c r="C319" s="264" t="s">
        <v>18</v>
      </c>
      <c r="D319" s="241">
        <v>50</v>
      </c>
      <c r="E319" s="135">
        <v>99.71</v>
      </c>
      <c r="F319" s="135">
        <f>ROUND(E319*$J$1,2)</f>
        <v>124.64</v>
      </c>
      <c r="G319" s="159">
        <f>ROUND(F319*D319,2)</f>
        <v>6232</v>
      </c>
      <c r="H319" s="139"/>
      <c r="I319" s="200"/>
      <c r="J319" s="89"/>
      <c r="K319" s="92"/>
      <c r="L319" s="90"/>
    </row>
    <row r="320" spans="1:12" ht="12.75">
      <c r="A320" s="197"/>
      <c r="B320" s="167" t="s">
        <v>68</v>
      </c>
      <c r="C320" s="168"/>
      <c r="D320" s="197"/>
      <c r="E320" s="170"/>
      <c r="F320" s="170"/>
      <c r="G320" s="171">
        <f>SUM(G130:G319)</f>
        <v>364739.26000000007</v>
      </c>
      <c r="H320" s="137">
        <f>G320/G441</f>
        <v>0.28920341226782526</v>
      </c>
      <c r="J320" s="89"/>
      <c r="K320" s="82"/>
      <c r="L320" s="90"/>
    </row>
    <row r="321" spans="1:12" ht="12.75">
      <c r="A321" s="163">
        <v>18</v>
      </c>
      <c r="B321" s="143" t="s">
        <v>63</v>
      </c>
      <c r="C321" s="150"/>
      <c r="D321" s="142"/>
      <c r="E321" s="135"/>
      <c r="F321" s="135"/>
      <c r="G321" s="159"/>
      <c r="H321" s="139"/>
      <c r="I321" s="200"/>
      <c r="J321" s="89"/>
      <c r="K321" s="82"/>
      <c r="L321" s="90"/>
    </row>
    <row r="322" spans="1:12" s="91" customFormat="1" ht="33.75">
      <c r="A322" s="249"/>
      <c r="B322" s="251" t="s">
        <v>438</v>
      </c>
      <c r="C322" s="250"/>
      <c r="D322" s="142"/>
      <c r="E322" s="135"/>
      <c r="F322" s="135"/>
      <c r="G322" s="159"/>
      <c r="H322" s="139"/>
      <c r="I322" s="200"/>
      <c r="J322" s="89"/>
      <c r="K322" s="92"/>
      <c r="L322" s="90"/>
    </row>
    <row r="323" spans="1:12" s="91" customFormat="1" ht="12.75">
      <c r="A323" s="249" t="s">
        <v>318</v>
      </c>
      <c r="B323" s="251" t="s">
        <v>439</v>
      </c>
      <c r="C323" s="264" t="s">
        <v>12</v>
      </c>
      <c r="D323" s="241">
        <v>150</v>
      </c>
      <c r="E323" s="135">
        <v>0.48</v>
      </c>
      <c r="F323" s="135">
        <f aca="true" t="shared" si="18" ref="F323:F386">ROUND(E323*$J$1,2)</f>
        <v>0.6</v>
      </c>
      <c r="G323" s="159">
        <f aca="true" t="shared" si="19" ref="G323:G386">ROUND(F323*D323,2)</f>
        <v>90</v>
      </c>
      <c r="H323" s="139"/>
      <c r="I323" s="200"/>
      <c r="J323" s="89"/>
      <c r="K323" s="92"/>
      <c r="L323" s="90"/>
    </row>
    <row r="324" spans="1:12" ht="12.75">
      <c r="A324" s="249" t="s">
        <v>319</v>
      </c>
      <c r="B324" s="251" t="s">
        <v>440</v>
      </c>
      <c r="C324" s="250" t="s">
        <v>12</v>
      </c>
      <c r="D324" s="142">
        <v>150</v>
      </c>
      <c r="E324" s="135">
        <v>0.73</v>
      </c>
      <c r="F324" s="135">
        <f t="shared" si="18"/>
        <v>0.91</v>
      </c>
      <c r="G324" s="159">
        <f t="shared" si="19"/>
        <v>136.5</v>
      </c>
      <c r="H324" s="139"/>
      <c r="I324" s="200"/>
      <c r="J324" s="89"/>
      <c r="K324" s="82"/>
      <c r="L324" s="93"/>
    </row>
    <row r="325" spans="1:12" s="91" customFormat="1" ht="12.75">
      <c r="A325" s="249"/>
      <c r="B325" s="251" t="s">
        <v>441</v>
      </c>
      <c r="C325" s="250"/>
      <c r="D325" s="142"/>
      <c r="E325" s="135"/>
      <c r="F325" s="135"/>
      <c r="G325" s="159"/>
      <c r="H325" s="139"/>
      <c r="I325" s="200"/>
      <c r="J325" s="89"/>
      <c r="K325" s="92"/>
      <c r="L325" s="90"/>
    </row>
    <row r="326" spans="1:12" s="91" customFormat="1" ht="12.75">
      <c r="A326" s="249" t="s">
        <v>320</v>
      </c>
      <c r="B326" s="251" t="s">
        <v>442</v>
      </c>
      <c r="C326" s="250" t="s">
        <v>12</v>
      </c>
      <c r="D326" s="142">
        <v>200</v>
      </c>
      <c r="E326" s="135">
        <v>26.72</v>
      </c>
      <c r="F326" s="135">
        <f t="shared" si="18"/>
        <v>33.4</v>
      </c>
      <c r="G326" s="159">
        <f t="shared" si="19"/>
        <v>6680</v>
      </c>
      <c r="H326" s="139"/>
      <c r="I326" s="200"/>
      <c r="J326" s="89"/>
      <c r="K326" s="92"/>
      <c r="L326" s="90"/>
    </row>
    <row r="327" spans="1:12" ht="12.75">
      <c r="A327" s="249" t="s">
        <v>321</v>
      </c>
      <c r="B327" s="251" t="s">
        <v>443</v>
      </c>
      <c r="C327" s="250" t="s">
        <v>12</v>
      </c>
      <c r="D327" s="142">
        <v>80</v>
      </c>
      <c r="E327" s="135">
        <v>19.67</v>
      </c>
      <c r="F327" s="135">
        <f t="shared" si="18"/>
        <v>24.59</v>
      </c>
      <c r="G327" s="159">
        <f t="shared" si="19"/>
        <v>1967.2</v>
      </c>
      <c r="H327" s="139"/>
      <c r="I327" s="200"/>
      <c r="J327" s="89"/>
      <c r="K327" s="82"/>
      <c r="L327" s="90"/>
    </row>
    <row r="328" spans="1:12" ht="12.75">
      <c r="A328" s="249" t="s">
        <v>322</v>
      </c>
      <c r="B328" s="251" t="s">
        <v>444</v>
      </c>
      <c r="C328" s="250" t="s">
        <v>12</v>
      </c>
      <c r="D328" s="142">
        <v>30</v>
      </c>
      <c r="E328" s="135">
        <v>6.81</v>
      </c>
      <c r="F328" s="135">
        <f t="shared" si="18"/>
        <v>8.51</v>
      </c>
      <c r="G328" s="159">
        <f t="shared" si="19"/>
        <v>255.3</v>
      </c>
      <c r="H328" s="139"/>
      <c r="I328" s="200"/>
      <c r="J328" s="89"/>
      <c r="K328" s="82"/>
      <c r="L328" s="90"/>
    </row>
    <row r="329" spans="1:12" ht="12.75">
      <c r="A329" s="249"/>
      <c r="B329" s="251" t="s">
        <v>445</v>
      </c>
      <c r="C329" s="250"/>
      <c r="D329" s="142"/>
      <c r="E329" s="135"/>
      <c r="F329" s="135"/>
      <c r="G329" s="159"/>
      <c r="H329" s="139"/>
      <c r="I329" s="200"/>
      <c r="J329" s="89"/>
      <c r="K329" s="82"/>
      <c r="L329" s="90"/>
    </row>
    <row r="330" spans="1:12" ht="22.5">
      <c r="A330" s="249" t="s">
        <v>323</v>
      </c>
      <c r="B330" s="251" t="s">
        <v>446</v>
      </c>
      <c r="C330" s="250" t="s">
        <v>12</v>
      </c>
      <c r="D330" s="142">
        <v>135</v>
      </c>
      <c r="E330" s="135">
        <v>8.01</v>
      </c>
      <c r="F330" s="135">
        <f t="shared" si="18"/>
        <v>10.01</v>
      </c>
      <c r="G330" s="159">
        <f t="shared" si="19"/>
        <v>1351.35</v>
      </c>
      <c r="H330" s="139"/>
      <c r="I330" s="200"/>
      <c r="J330" s="89"/>
      <c r="K330" s="82"/>
      <c r="L330" s="90"/>
    </row>
    <row r="331" spans="1:12" s="91" customFormat="1" ht="12.75">
      <c r="A331" s="249" t="s">
        <v>324</v>
      </c>
      <c r="B331" s="251" t="s">
        <v>447</v>
      </c>
      <c r="C331" s="264" t="s">
        <v>12</v>
      </c>
      <c r="D331" s="241">
        <v>45</v>
      </c>
      <c r="E331" s="135">
        <v>9.01</v>
      </c>
      <c r="F331" s="135">
        <f t="shared" si="18"/>
        <v>11.26</v>
      </c>
      <c r="G331" s="159">
        <f t="shared" si="19"/>
        <v>506.7</v>
      </c>
      <c r="H331" s="139"/>
      <c r="I331" s="200"/>
      <c r="J331" s="89"/>
      <c r="K331" s="92"/>
      <c r="L331" s="90"/>
    </row>
    <row r="332" spans="1:12" ht="12.75">
      <c r="A332" s="249"/>
      <c r="B332" s="251" t="s">
        <v>448</v>
      </c>
      <c r="C332" s="250"/>
      <c r="D332" s="142"/>
      <c r="E332" s="135"/>
      <c r="F332" s="135"/>
      <c r="G332" s="159"/>
      <c r="H332" s="139"/>
      <c r="I332" s="200"/>
      <c r="J332" s="89"/>
      <c r="K332" s="82"/>
      <c r="L332" s="93"/>
    </row>
    <row r="333" spans="1:12" s="91" customFormat="1" ht="12.75">
      <c r="A333" s="249" t="s">
        <v>325</v>
      </c>
      <c r="B333" s="251" t="s">
        <v>449</v>
      </c>
      <c r="C333" s="250" t="s">
        <v>18</v>
      </c>
      <c r="D333" s="142">
        <v>150</v>
      </c>
      <c r="E333" s="135">
        <v>10.09</v>
      </c>
      <c r="F333" s="135">
        <f t="shared" si="18"/>
        <v>12.61</v>
      </c>
      <c r="G333" s="159">
        <f t="shared" si="19"/>
        <v>1891.5</v>
      </c>
      <c r="H333" s="139"/>
      <c r="I333" s="200"/>
      <c r="J333" s="89"/>
      <c r="K333" s="92"/>
      <c r="L333" s="90"/>
    </row>
    <row r="334" spans="1:12" s="91" customFormat="1" ht="12.75">
      <c r="A334" s="249" t="s">
        <v>626</v>
      </c>
      <c r="B334" s="251" t="s">
        <v>450</v>
      </c>
      <c r="C334" s="250" t="s">
        <v>18</v>
      </c>
      <c r="D334" s="142">
        <v>50</v>
      </c>
      <c r="E334" s="135">
        <v>5.22</v>
      </c>
      <c r="F334" s="135">
        <f t="shared" si="18"/>
        <v>6.53</v>
      </c>
      <c r="G334" s="159">
        <f t="shared" si="19"/>
        <v>326.5</v>
      </c>
      <c r="H334" s="139"/>
      <c r="I334" s="200"/>
      <c r="J334" s="89"/>
      <c r="K334" s="92"/>
      <c r="L334" s="90"/>
    </row>
    <row r="335" spans="1:12" s="91" customFormat="1" ht="22.5">
      <c r="A335" s="249"/>
      <c r="B335" s="251" t="s">
        <v>451</v>
      </c>
      <c r="C335" s="264"/>
      <c r="D335" s="241"/>
      <c r="E335" s="135"/>
      <c r="F335" s="135"/>
      <c r="G335" s="159"/>
      <c r="H335" s="139"/>
      <c r="I335" s="200"/>
      <c r="J335" s="89"/>
      <c r="K335" s="92"/>
      <c r="L335" s="90"/>
    </row>
    <row r="336" spans="1:12" ht="12.75">
      <c r="A336" s="249" t="s">
        <v>627</v>
      </c>
      <c r="B336" s="251" t="s">
        <v>449</v>
      </c>
      <c r="C336" s="250" t="s">
        <v>18</v>
      </c>
      <c r="D336" s="142">
        <v>10</v>
      </c>
      <c r="E336" s="135">
        <v>21.86</v>
      </c>
      <c r="F336" s="135">
        <f t="shared" si="18"/>
        <v>27.33</v>
      </c>
      <c r="G336" s="159">
        <f t="shared" si="19"/>
        <v>273.3</v>
      </c>
      <c r="H336" s="139"/>
      <c r="I336" s="200"/>
      <c r="J336" s="89"/>
      <c r="K336" s="82"/>
      <c r="L336" s="93"/>
    </row>
    <row r="337" spans="1:12" s="91" customFormat="1" ht="33.75">
      <c r="A337" s="249" t="s">
        <v>629</v>
      </c>
      <c r="B337" s="252" t="s">
        <v>452</v>
      </c>
      <c r="C337" s="250" t="s">
        <v>18</v>
      </c>
      <c r="D337" s="142">
        <v>7</v>
      </c>
      <c r="E337" s="135">
        <v>390.26</v>
      </c>
      <c r="F337" s="135">
        <f t="shared" si="18"/>
        <v>487.83</v>
      </c>
      <c r="G337" s="159">
        <f t="shared" si="19"/>
        <v>3414.81</v>
      </c>
      <c r="H337" s="139"/>
      <c r="I337" s="200"/>
      <c r="J337" s="89"/>
      <c r="K337" s="92"/>
      <c r="L337" s="90"/>
    </row>
    <row r="338" spans="1:12" s="91" customFormat="1" ht="22.5">
      <c r="A338" s="249" t="s">
        <v>630</v>
      </c>
      <c r="B338" s="252" t="s">
        <v>453</v>
      </c>
      <c r="C338" s="250" t="s">
        <v>18</v>
      </c>
      <c r="D338" s="142">
        <v>82</v>
      </c>
      <c r="E338" s="135">
        <v>76.6</v>
      </c>
      <c r="F338" s="135">
        <f t="shared" si="18"/>
        <v>95.75</v>
      </c>
      <c r="G338" s="159">
        <f t="shared" si="19"/>
        <v>7851.5</v>
      </c>
      <c r="H338" s="139"/>
      <c r="I338" s="200"/>
      <c r="J338" s="89"/>
      <c r="K338" s="92"/>
      <c r="L338" s="90"/>
    </row>
    <row r="339" spans="1:12" ht="22.5">
      <c r="A339" s="249" t="s">
        <v>631</v>
      </c>
      <c r="B339" s="252" t="s">
        <v>454</v>
      </c>
      <c r="C339" s="250" t="s">
        <v>18</v>
      </c>
      <c r="D339" s="142">
        <v>34</v>
      </c>
      <c r="E339" s="135">
        <v>76.9</v>
      </c>
      <c r="F339" s="135">
        <f t="shared" si="18"/>
        <v>96.13</v>
      </c>
      <c r="G339" s="159">
        <f t="shared" si="19"/>
        <v>3268.42</v>
      </c>
      <c r="H339" s="139"/>
      <c r="I339" s="200"/>
      <c r="J339" s="89"/>
      <c r="K339" s="82"/>
      <c r="L339" s="90"/>
    </row>
    <row r="340" spans="1:12" ht="33.75">
      <c r="A340" s="249" t="s">
        <v>632</v>
      </c>
      <c r="B340" s="252" t="s">
        <v>455</v>
      </c>
      <c r="C340" s="250" t="s">
        <v>18</v>
      </c>
      <c r="D340" s="142">
        <v>9</v>
      </c>
      <c r="E340" s="135">
        <v>76.9</v>
      </c>
      <c r="F340" s="135">
        <f t="shared" si="18"/>
        <v>96.13</v>
      </c>
      <c r="G340" s="159">
        <f t="shared" si="19"/>
        <v>865.17</v>
      </c>
      <c r="H340" s="139"/>
      <c r="I340" s="200"/>
      <c r="J340" s="89"/>
      <c r="K340" s="82"/>
      <c r="L340" s="90"/>
    </row>
    <row r="341" spans="1:12" ht="33.75">
      <c r="A341" s="249" t="s">
        <v>633</v>
      </c>
      <c r="B341" s="252" t="s">
        <v>456</v>
      </c>
      <c r="C341" s="250" t="s">
        <v>18</v>
      </c>
      <c r="D341" s="142">
        <v>2</v>
      </c>
      <c r="E341" s="135">
        <v>76.9</v>
      </c>
      <c r="F341" s="135">
        <f t="shared" si="18"/>
        <v>96.13</v>
      </c>
      <c r="G341" s="159">
        <f t="shared" si="19"/>
        <v>192.26</v>
      </c>
      <c r="H341" s="139"/>
      <c r="I341" s="200"/>
      <c r="J341" s="89"/>
      <c r="K341" s="82"/>
      <c r="L341" s="90"/>
    </row>
    <row r="342" spans="1:12" ht="22.5">
      <c r="A342" s="249"/>
      <c r="B342" s="252" t="s">
        <v>457</v>
      </c>
      <c r="C342" s="250"/>
      <c r="D342" s="142"/>
      <c r="E342" s="135"/>
      <c r="F342" s="135"/>
      <c r="G342" s="159"/>
      <c r="H342" s="139"/>
      <c r="I342" s="200"/>
      <c r="J342" s="89"/>
      <c r="K342" s="82"/>
      <c r="L342" s="90"/>
    </row>
    <row r="343" spans="1:12" s="91" customFormat="1" ht="12.75">
      <c r="A343" s="249"/>
      <c r="B343" s="263" t="s">
        <v>458</v>
      </c>
      <c r="C343" s="264"/>
      <c r="D343" s="241"/>
      <c r="E343" s="135"/>
      <c r="F343" s="135"/>
      <c r="G343" s="159"/>
      <c r="H343" s="139"/>
      <c r="I343" s="200"/>
      <c r="J343" s="89"/>
      <c r="K343" s="92"/>
      <c r="L343" s="90"/>
    </row>
    <row r="344" spans="1:12" ht="45">
      <c r="A344" s="249" t="s">
        <v>634</v>
      </c>
      <c r="B344" s="252" t="s">
        <v>459</v>
      </c>
      <c r="C344" s="250" t="s">
        <v>18</v>
      </c>
      <c r="D344" s="142">
        <v>5</v>
      </c>
      <c r="E344" s="135">
        <v>79.16</v>
      </c>
      <c r="F344" s="135">
        <f t="shared" si="18"/>
        <v>98.95</v>
      </c>
      <c r="G344" s="159">
        <f t="shared" si="19"/>
        <v>494.75</v>
      </c>
      <c r="H344" s="139"/>
      <c r="I344" s="200"/>
      <c r="J344" s="89"/>
      <c r="K344" s="82"/>
      <c r="L344" s="93"/>
    </row>
    <row r="345" spans="1:12" s="91" customFormat="1" ht="22.5">
      <c r="A345" s="249" t="s">
        <v>635</v>
      </c>
      <c r="B345" s="252" t="s">
        <v>460</v>
      </c>
      <c r="C345" s="250" t="s">
        <v>18</v>
      </c>
      <c r="D345" s="142">
        <v>1</v>
      </c>
      <c r="E345" s="135">
        <v>1271.72</v>
      </c>
      <c r="F345" s="135">
        <f t="shared" si="18"/>
        <v>1589.65</v>
      </c>
      <c r="G345" s="159">
        <f t="shared" si="19"/>
        <v>1589.65</v>
      </c>
      <c r="H345" s="139"/>
      <c r="I345" s="200"/>
      <c r="J345" s="89"/>
      <c r="K345" s="92"/>
      <c r="L345" s="90"/>
    </row>
    <row r="346" spans="1:12" s="91" customFormat="1" ht="12.75">
      <c r="A346" s="249" t="s">
        <v>636</v>
      </c>
      <c r="B346" s="252" t="s">
        <v>461</v>
      </c>
      <c r="C346" s="250" t="s">
        <v>18</v>
      </c>
      <c r="D346" s="142">
        <v>4</v>
      </c>
      <c r="E346" s="135">
        <v>100</v>
      </c>
      <c r="F346" s="135">
        <f t="shared" si="18"/>
        <v>125</v>
      </c>
      <c r="G346" s="159">
        <f t="shared" si="19"/>
        <v>500</v>
      </c>
      <c r="H346" s="139"/>
      <c r="I346" s="200"/>
      <c r="J346" s="89"/>
      <c r="K346" s="92"/>
      <c r="L346" s="90"/>
    </row>
    <row r="347" spans="1:12" s="91" customFormat="1" ht="12.75">
      <c r="A347" s="249"/>
      <c r="B347" s="263" t="s">
        <v>470</v>
      </c>
      <c r="C347" s="264"/>
      <c r="D347" s="241"/>
      <c r="E347" s="135"/>
      <c r="F347" s="135"/>
      <c r="G347" s="159"/>
      <c r="H347" s="139"/>
      <c r="I347" s="200"/>
      <c r="J347" s="89"/>
      <c r="K347" s="92"/>
      <c r="L347" s="90"/>
    </row>
    <row r="348" spans="1:12" s="91" customFormat="1" ht="33.75">
      <c r="A348" s="249" t="s">
        <v>637</v>
      </c>
      <c r="B348" s="252" t="s">
        <v>462</v>
      </c>
      <c r="C348" s="264" t="s">
        <v>18</v>
      </c>
      <c r="D348" s="241">
        <v>13</v>
      </c>
      <c r="E348" s="135">
        <v>62.49</v>
      </c>
      <c r="F348" s="135">
        <f t="shared" si="18"/>
        <v>78.11</v>
      </c>
      <c r="G348" s="159">
        <f t="shared" si="19"/>
        <v>1015.43</v>
      </c>
      <c r="H348" s="139"/>
      <c r="I348" s="200"/>
      <c r="J348" s="89"/>
      <c r="K348" s="92"/>
      <c r="L348" s="90"/>
    </row>
    <row r="349" spans="1:12" ht="22.5">
      <c r="A349" s="249" t="s">
        <v>638</v>
      </c>
      <c r="B349" s="252" t="s">
        <v>463</v>
      </c>
      <c r="C349" s="250" t="s">
        <v>18</v>
      </c>
      <c r="D349" s="142">
        <v>13</v>
      </c>
      <c r="E349" s="135">
        <v>59.51</v>
      </c>
      <c r="F349" s="135">
        <f t="shared" si="18"/>
        <v>74.39</v>
      </c>
      <c r="G349" s="159">
        <f t="shared" si="19"/>
        <v>967.07</v>
      </c>
      <c r="H349" s="139"/>
      <c r="I349" s="200"/>
      <c r="J349" s="89"/>
      <c r="K349" s="82"/>
      <c r="L349" s="93"/>
    </row>
    <row r="350" spans="1:12" s="91" customFormat="1" ht="12.75">
      <c r="A350" s="249"/>
      <c r="B350" s="251" t="s">
        <v>464</v>
      </c>
      <c r="C350" s="250"/>
      <c r="D350" s="142"/>
      <c r="E350" s="135"/>
      <c r="F350" s="135"/>
      <c r="G350" s="159"/>
      <c r="H350" s="139"/>
      <c r="I350" s="200"/>
      <c r="J350" s="89"/>
      <c r="K350" s="92"/>
      <c r="L350" s="90"/>
    </row>
    <row r="351" spans="1:12" s="91" customFormat="1" ht="12.75">
      <c r="A351" s="249" t="s">
        <v>639</v>
      </c>
      <c r="B351" s="251" t="s">
        <v>443</v>
      </c>
      <c r="C351" s="250" t="s">
        <v>18</v>
      </c>
      <c r="D351" s="142">
        <v>13</v>
      </c>
      <c r="E351" s="135">
        <v>18.49</v>
      </c>
      <c r="F351" s="135">
        <f t="shared" si="18"/>
        <v>23.11</v>
      </c>
      <c r="G351" s="159">
        <f t="shared" si="19"/>
        <v>300.43</v>
      </c>
      <c r="H351" s="139"/>
      <c r="I351" s="200"/>
      <c r="J351" s="89"/>
      <c r="K351" s="92"/>
      <c r="L351" s="90"/>
    </row>
    <row r="352" spans="1:12" ht="12.75">
      <c r="A352" s="249" t="s">
        <v>640</v>
      </c>
      <c r="B352" s="251" t="s">
        <v>444</v>
      </c>
      <c r="C352" s="250" t="s">
        <v>18</v>
      </c>
      <c r="D352" s="142">
        <v>1</v>
      </c>
      <c r="E352" s="135">
        <v>18.49</v>
      </c>
      <c r="F352" s="135">
        <f t="shared" si="18"/>
        <v>23.11</v>
      </c>
      <c r="G352" s="159">
        <f t="shared" si="19"/>
        <v>23.11</v>
      </c>
      <c r="H352" s="139"/>
      <c r="I352" s="200"/>
      <c r="J352" s="89"/>
      <c r="K352" s="82"/>
      <c r="L352" s="90"/>
    </row>
    <row r="353" spans="1:12" ht="12.75">
      <c r="A353" s="249" t="s">
        <v>641</v>
      </c>
      <c r="B353" s="252" t="s">
        <v>465</v>
      </c>
      <c r="C353" s="250" t="s">
        <v>18</v>
      </c>
      <c r="D353" s="142">
        <v>30</v>
      </c>
      <c r="E353" s="135">
        <v>3</v>
      </c>
      <c r="F353" s="135">
        <f t="shared" si="18"/>
        <v>3.75</v>
      </c>
      <c r="G353" s="159">
        <f t="shared" si="19"/>
        <v>112.5</v>
      </c>
      <c r="H353" s="139"/>
      <c r="I353" s="200"/>
      <c r="J353" s="89"/>
      <c r="K353" s="82"/>
      <c r="L353" s="90"/>
    </row>
    <row r="354" spans="1:12" ht="22.5">
      <c r="A354" s="249"/>
      <c r="B354" s="251" t="s">
        <v>466</v>
      </c>
      <c r="C354" s="250"/>
      <c r="D354" s="142"/>
      <c r="E354" s="135"/>
      <c r="F354" s="135"/>
      <c r="G354" s="159"/>
      <c r="H354" s="139"/>
      <c r="I354" s="200"/>
      <c r="J354" s="89"/>
      <c r="K354" s="82"/>
      <c r="L354" s="90"/>
    </row>
    <row r="355" spans="1:12" ht="12.75">
      <c r="A355" s="249" t="s">
        <v>642</v>
      </c>
      <c r="B355" s="251" t="s">
        <v>443</v>
      </c>
      <c r="C355" s="250" t="s">
        <v>18</v>
      </c>
      <c r="D355" s="142">
        <v>13</v>
      </c>
      <c r="E355" s="135">
        <v>3.54</v>
      </c>
      <c r="F355" s="135">
        <f t="shared" si="18"/>
        <v>4.43</v>
      </c>
      <c r="G355" s="159">
        <f t="shared" si="19"/>
        <v>57.59</v>
      </c>
      <c r="H355" s="139"/>
      <c r="I355" s="200"/>
      <c r="J355" s="89"/>
      <c r="K355" s="82"/>
      <c r="L355" s="90"/>
    </row>
    <row r="356" spans="1:12" s="91" customFormat="1" ht="12.75">
      <c r="A356" s="249" t="s">
        <v>643</v>
      </c>
      <c r="B356" s="251" t="s">
        <v>444</v>
      </c>
      <c r="C356" s="264" t="s">
        <v>18</v>
      </c>
      <c r="D356" s="241">
        <v>1</v>
      </c>
      <c r="E356" s="135">
        <v>5.8</v>
      </c>
      <c r="F356" s="135">
        <f t="shared" si="18"/>
        <v>7.25</v>
      </c>
      <c r="G356" s="159">
        <f t="shared" si="19"/>
        <v>7.25</v>
      </c>
      <c r="H356" s="139"/>
      <c r="I356" s="200"/>
      <c r="J356" s="89"/>
      <c r="K356" s="92"/>
      <c r="L356" s="90"/>
    </row>
    <row r="357" spans="1:12" ht="12.75">
      <c r="A357" s="249" t="s">
        <v>644</v>
      </c>
      <c r="B357" s="252" t="s">
        <v>467</v>
      </c>
      <c r="C357" s="250" t="s">
        <v>12</v>
      </c>
      <c r="D357" s="142">
        <v>500</v>
      </c>
      <c r="E357" s="135">
        <v>1.85</v>
      </c>
      <c r="F357" s="135">
        <f t="shared" si="18"/>
        <v>2.31</v>
      </c>
      <c r="G357" s="159">
        <f t="shared" si="19"/>
        <v>1155</v>
      </c>
      <c r="H357" s="139"/>
      <c r="I357" s="200"/>
      <c r="J357" s="89"/>
      <c r="K357" s="82"/>
      <c r="L357" s="93"/>
    </row>
    <row r="358" spans="1:12" s="91" customFormat="1" ht="22.5">
      <c r="A358" s="249"/>
      <c r="B358" s="252" t="s">
        <v>468</v>
      </c>
      <c r="C358" s="250"/>
      <c r="D358" s="142"/>
      <c r="E358" s="135"/>
      <c r="F358" s="135"/>
      <c r="G358" s="159"/>
      <c r="H358" s="139"/>
      <c r="I358" s="200"/>
      <c r="J358" s="89"/>
      <c r="K358" s="92"/>
      <c r="L358" s="90"/>
    </row>
    <row r="359" spans="1:12" s="91" customFormat="1" ht="12.75">
      <c r="A359" s="249"/>
      <c r="B359" s="263" t="s">
        <v>469</v>
      </c>
      <c r="C359" s="250"/>
      <c r="D359" s="142"/>
      <c r="E359" s="135"/>
      <c r="F359" s="135"/>
      <c r="G359" s="159"/>
      <c r="H359" s="139"/>
      <c r="I359" s="200"/>
      <c r="J359" s="89"/>
      <c r="K359" s="92"/>
      <c r="L359" s="90"/>
    </row>
    <row r="360" spans="1:12" s="91" customFormat="1" ht="22.5">
      <c r="A360" s="249" t="s">
        <v>645</v>
      </c>
      <c r="B360" s="251" t="s">
        <v>471</v>
      </c>
      <c r="C360" s="264" t="s">
        <v>12</v>
      </c>
      <c r="D360" s="241">
        <v>287</v>
      </c>
      <c r="E360" s="135">
        <v>77.19</v>
      </c>
      <c r="F360" s="135">
        <f t="shared" si="18"/>
        <v>96.49</v>
      </c>
      <c r="G360" s="159">
        <f t="shared" si="19"/>
        <v>27692.63</v>
      </c>
      <c r="H360" s="139"/>
      <c r="I360" s="200"/>
      <c r="J360" s="89"/>
      <c r="K360" s="92"/>
      <c r="L360" s="90"/>
    </row>
    <row r="361" spans="1:12" ht="12.75">
      <c r="A361" s="249" t="s">
        <v>646</v>
      </c>
      <c r="B361" s="252" t="s">
        <v>472</v>
      </c>
      <c r="C361" s="250" t="s">
        <v>12</v>
      </c>
      <c r="D361" s="142">
        <v>287</v>
      </c>
      <c r="E361" s="135">
        <v>77.19</v>
      </c>
      <c r="F361" s="135">
        <f t="shared" si="18"/>
        <v>96.49</v>
      </c>
      <c r="G361" s="159">
        <f t="shared" si="19"/>
        <v>27692.63</v>
      </c>
      <c r="H361" s="139"/>
      <c r="I361" s="200"/>
      <c r="J361" s="89"/>
      <c r="K361" s="82"/>
      <c r="L361" s="93"/>
    </row>
    <row r="362" spans="1:12" s="91" customFormat="1" ht="12.75">
      <c r="A362" s="249" t="s">
        <v>647</v>
      </c>
      <c r="B362" s="252" t="s">
        <v>473</v>
      </c>
      <c r="C362" s="250" t="s">
        <v>4</v>
      </c>
      <c r="D362" s="142">
        <v>35</v>
      </c>
      <c r="E362" s="135">
        <v>290.6</v>
      </c>
      <c r="F362" s="135">
        <f t="shared" si="18"/>
        <v>363.25</v>
      </c>
      <c r="G362" s="159">
        <f t="shared" si="19"/>
        <v>12713.75</v>
      </c>
      <c r="H362" s="139"/>
      <c r="I362" s="200"/>
      <c r="J362" s="89"/>
      <c r="K362" s="92"/>
      <c r="L362" s="90"/>
    </row>
    <row r="363" spans="1:12" s="91" customFormat="1" ht="12.75">
      <c r="A363" s="249" t="s">
        <v>648</v>
      </c>
      <c r="B363" s="252" t="s">
        <v>474</v>
      </c>
      <c r="C363" s="250" t="s">
        <v>4</v>
      </c>
      <c r="D363" s="142">
        <v>10</v>
      </c>
      <c r="E363" s="135">
        <v>290.6</v>
      </c>
      <c r="F363" s="135">
        <f t="shared" si="18"/>
        <v>363.25</v>
      </c>
      <c r="G363" s="159">
        <f t="shared" si="19"/>
        <v>3632.5</v>
      </c>
      <c r="H363" s="139"/>
      <c r="I363" s="200"/>
      <c r="J363" s="89"/>
      <c r="K363" s="92"/>
      <c r="L363" s="90"/>
    </row>
    <row r="364" spans="1:12" ht="12.75">
      <c r="A364" s="249"/>
      <c r="B364" s="263" t="s">
        <v>475</v>
      </c>
      <c r="C364" s="250"/>
      <c r="D364" s="142"/>
      <c r="E364" s="135"/>
      <c r="F364" s="135"/>
      <c r="G364" s="159"/>
      <c r="H364" s="139"/>
      <c r="I364" s="200"/>
      <c r="J364" s="89"/>
      <c r="K364" s="82"/>
      <c r="L364" s="90"/>
    </row>
    <row r="365" spans="1:12" ht="22.5">
      <c r="A365" s="249" t="s">
        <v>649</v>
      </c>
      <c r="B365" s="252" t="s">
        <v>476</v>
      </c>
      <c r="C365" s="250" t="s">
        <v>18</v>
      </c>
      <c r="D365" s="142">
        <v>9</v>
      </c>
      <c r="E365" s="135">
        <v>109.76</v>
      </c>
      <c r="F365" s="135">
        <f t="shared" si="18"/>
        <v>137.2</v>
      </c>
      <c r="G365" s="159">
        <f t="shared" si="19"/>
        <v>1234.8</v>
      </c>
      <c r="H365" s="139"/>
      <c r="I365" s="200"/>
      <c r="J365" s="89"/>
      <c r="K365" s="82"/>
      <c r="L365" s="90"/>
    </row>
    <row r="366" spans="1:12" ht="22.5">
      <c r="A366" s="249" t="s">
        <v>650</v>
      </c>
      <c r="B366" s="252" t="s">
        <v>477</v>
      </c>
      <c r="C366" s="250" t="s">
        <v>18</v>
      </c>
      <c r="D366" s="142">
        <v>9</v>
      </c>
      <c r="E366" s="135">
        <v>8.68</v>
      </c>
      <c r="F366" s="135">
        <f t="shared" si="18"/>
        <v>10.85</v>
      </c>
      <c r="G366" s="159">
        <f t="shared" si="19"/>
        <v>97.65</v>
      </c>
      <c r="H366" s="139"/>
      <c r="I366" s="200"/>
      <c r="J366" s="89"/>
      <c r="K366" s="82"/>
      <c r="L366" s="90"/>
    </row>
    <row r="367" spans="1:12" ht="12.75">
      <c r="A367" s="249"/>
      <c r="B367" s="263" t="s">
        <v>478</v>
      </c>
      <c r="C367" s="250"/>
      <c r="D367" s="142"/>
      <c r="E367" s="135"/>
      <c r="F367" s="135"/>
      <c r="G367" s="159"/>
      <c r="H367" s="139"/>
      <c r="I367" s="200"/>
      <c r="J367" s="89"/>
      <c r="K367" s="82"/>
      <c r="L367" s="90"/>
    </row>
    <row r="368" spans="1:12" s="91" customFormat="1" ht="12.75">
      <c r="A368" s="249" t="s">
        <v>651</v>
      </c>
      <c r="B368" s="252" t="s">
        <v>479</v>
      </c>
      <c r="C368" s="264" t="s">
        <v>18</v>
      </c>
      <c r="D368" s="241">
        <v>1</v>
      </c>
      <c r="E368" s="135">
        <v>41.21</v>
      </c>
      <c r="F368" s="135">
        <f t="shared" si="18"/>
        <v>51.51</v>
      </c>
      <c r="G368" s="159">
        <f t="shared" si="19"/>
        <v>51.51</v>
      </c>
      <c r="H368" s="139"/>
      <c r="I368" s="200"/>
      <c r="J368" s="89"/>
      <c r="K368" s="92"/>
      <c r="L368" s="90"/>
    </row>
    <row r="369" spans="1:12" ht="12.75">
      <c r="A369" s="249" t="s">
        <v>628</v>
      </c>
      <c r="B369" s="252" t="s">
        <v>480</v>
      </c>
      <c r="C369" s="250" t="s">
        <v>18</v>
      </c>
      <c r="D369" s="142">
        <v>1</v>
      </c>
      <c r="E369" s="135">
        <v>233.78</v>
      </c>
      <c r="F369" s="135">
        <f t="shared" si="18"/>
        <v>292.23</v>
      </c>
      <c r="G369" s="159">
        <f t="shared" si="19"/>
        <v>292.23</v>
      </c>
      <c r="H369" s="139"/>
      <c r="I369" s="200"/>
      <c r="J369" s="89"/>
      <c r="K369" s="82"/>
      <c r="L369" s="93"/>
    </row>
    <row r="370" spans="1:12" s="91" customFormat="1" ht="12.75">
      <c r="A370" s="249" t="s">
        <v>652</v>
      </c>
      <c r="B370" s="252" t="s">
        <v>481</v>
      </c>
      <c r="C370" s="250" t="s">
        <v>18</v>
      </c>
      <c r="D370" s="142">
        <v>1</v>
      </c>
      <c r="E370" s="135">
        <v>222.04</v>
      </c>
      <c r="F370" s="135">
        <f t="shared" si="18"/>
        <v>277.55</v>
      </c>
      <c r="G370" s="159">
        <f t="shared" si="19"/>
        <v>277.55</v>
      </c>
      <c r="H370" s="139"/>
      <c r="I370" s="200"/>
      <c r="J370" s="89"/>
      <c r="K370" s="92"/>
      <c r="L370" s="90"/>
    </row>
    <row r="371" spans="1:12" s="91" customFormat="1" ht="12.75">
      <c r="A371" s="249" t="s">
        <v>653</v>
      </c>
      <c r="B371" s="252" t="s">
        <v>482</v>
      </c>
      <c r="C371" s="250" t="s">
        <v>18</v>
      </c>
      <c r="D371" s="142">
        <v>1</v>
      </c>
      <c r="E371" s="135">
        <v>49.77</v>
      </c>
      <c r="F371" s="135">
        <f t="shared" si="18"/>
        <v>62.21</v>
      </c>
      <c r="G371" s="159">
        <f t="shared" si="19"/>
        <v>62.21</v>
      </c>
      <c r="H371" s="139"/>
      <c r="I371" s="200"/>
      <c r="J371" s="89"/>
      <c r="K371" s="92"/>
      <c r="L371" s="90"/>
    </row>
    <row r="372" spans="1:12" ht="12.75">
      <c r="A372" s="249" t="s">
        <v>654</v>
      </c>
      <c r="B372" s="252" t="s">
        <v>483</v>
      </c>
      <c r="C372" s="250" t="s">
        <v>18</v>
      </c>
      <c r="D372" s="142">
        <v>20</v>
      </c>
      <c r="E372" s="135">
        <v>124.56</v>
      </c>
      <c r="F372" s="135">
        <f t="shared" si="18"/>
        <v>155.7</v>
      </c>
      <c r="G372" s="159">
        <f t="shared" si="19"/>
        <v>3114</v>
      </c>
      <c r="H372" s="139"/>
      <c r="I372" s="200"/>
      <c r="J372" s="89"/>
      <c r="K372" s="82"/>
      <c r="L372" s="90"/>
    </row>
    <row r="373" spans="1:12" s="91" customFormat="1" ht="12.75">
      <c r="A373" s="249" t="s">
        <v>655</v>
      </c>
      <c r="B373" s="252" t="s">
        <v>484</v>
      </c>
      <c r="C373" s="264" t="s">
        <v>18</v>
      </c>
      <c r="D373" s="241">
        <v>5</v>
      </c>
      <c r="E373" s="135">
        <v>66.93</v>
      </c>
      <c r="F373" s="135">
        <f t="shared" si="18"/>
        <v>83.66</v>
      </c>
      <c r="G373" s="159">
        <f t="shared" si="19"/>
        <v>418.3</v>
      </c>
      <c r="H373" s="139"/>
      <c r="I373" s="200"/>
      <c r="J373" s="89"/>
      <c r="K373" s="92"/>
      <c r="L373" s="90"/>
    </row>
    <row r="374" spans="1:12" ht="12.75">
      <c r="A374" s="249" t="s">
        <v>656</v>
      </c>
      <c r="B374" s="252" t="s">
        <v>485</v>
      </c>
      <c r="C374" s="250" t="s">
        <v>12</v>
      </c>
      <c r="D374" s="142">
        <v>132</v>
      </c>
      <c r="E374" s="135">
        <v>46.62</v>
      </c>
      <c r="F374" s="135">
        <f t="shared" si="18"/>
        <v>58.28</v>
      </c>
      <c r="G374" s="159">
        <f t="shared" si="19"/>
        <v>7692.96</v>
      </c>
      <c r="H374" s="139"/>
      <c r="I374" s="200"/>
      <c r="J374" s="89"/>
      <c r="K374" s="82"/>
      <c r="L374" s="93"/>
    </row>
    <row r="375" spans="1:12" s="91" customFormat="1" ht="12.75">
      <c r="A375" s="249" t="s">
        <v>657</v>
      </c>
      <c r="B375" s="252" t="s">
        <v>486</v>
      </c>
      <c r="C375" s="250" t="s">
        <v>18</v>
      </c>
      <c r="D375" s="142">
        <v>5</v>
      </c>
      <c r="E375" s="135">
        <v>84</v>
      </c>
      <c r="F375" s="135">
        <f t="shared" si="18"/>
        <v>105</v>
      </c>
      <c r="G375" s="159">
        <f t="shared" si="19"/>
        <v>525</v>
      </c>
      <c r="H375" s="139"/>
      <c r="I375" s="200"/>
      <c r="J375" s="89"/>
      <c r="K375" s="92"/>
      <c r="L375" s="90"/>
    </row>
    <row r="376" spans="1:12" s="91" customFormat="1" ht="12.75">
      <c r="A376" s="249" t="s">
        <v>658</v>
      </c>
      <c r="B376" s="252" t="s">
        <v>487</v>
      </c>
      <c r="C376" s="250" t="s">
        <v>18</v>
      </c>
      <c r="D376" s="142">
        <v>5</v>
      </c>
      <c r="E376" s="135">
        <v>179.42</v>
      </c>
      <c r="F376" s="135">
        <f t="shared" si="18"/>
        <v>224.28</v>
      </c>
      <c r="G376" s="159">
        <f t="shared" si="19"/>
        <v>1121.4</v>
      </c>
      <c r="H376" s="139"/>
      <c r="I376" s="200"/>
      <c r="J376" s="89"/>
      <c r="K376" s="92"/>
      <c r="L376" s="90"/>
    </row>
    <row r="377" spans="1:12" s="91" customFormat="1" ht="22.5">
      <c r="A377" s="249" t="s">
        <v>659</v>
      </c>
      <c r="B377" s="252" t="s">
        <v>488</v>
      </c>
      <c r="C377" s="264" t="s">
        <v>18</v>
      </c>
      <c r="D377" s="241">
        <v>10</v>
      </c>
      <c r="E377" s="135">
        <v>222.19</v>
      </c>
      <c r="F377" s="135">
        <f t="shared" si="18"/>
        <v>277.74</v>
      </c>
      <c r="G377" s="159">
        <f t="shared" si="19"/>
        <v>2777.4</v>
      </c>
      <c r="H377" s="139"/>
      <c r="I377" s="200"/>
      <c r="J377" s="89"/>
      <c r="K377" s="92"/>
      <c r="L377" s="90"/>
    </row>
    <row r="378" spans="1:12" ht="12.75">
      <c r="A378" s="249" t="s">
        <v>660</v>
      </c>
      <c r="B378" s="252" t="s">
        <v>489</v>
      </c>
      <c r="C378" s="250" t="s">
        <v>18</v>
      </c>
      <c r="D378" s="142">
        <v>5</v>
      </c>
      <c r="E378" s="135">
        <v>52.78</v>
      </c>
      <c r="F378" s="135">
        <f t="shared" si="18"/>
        <v>65.98</v>
      </c>
      <c r="G378" s="159">
        <f t="shared" si="19"/>
        <v>329.9</v>
      </c>
      <c r="H378" s="139"/>
      <c r="I378" s="200"/>
      <c r="J378" s="89"/>
      <c r="K378" s="82"/>
      <c r="L378" s="93"/>
    </row>
    <row r="379" spans="1:12" s="91" customFormat="1" ht="12.75">
      <c r="A379" s="249" t="s">
        <v>661</v>
      </c>
      <c r="B379" s="252" t="s">
        <v>490</v>
      </c>
      <c r="C379" s="250" t="s">
        <v>18</v>
      </c>
      <c r="D379" s="142">
        <v>1</v>
      </c>
      <c r="E379" s="135">
        <v>2137.5</v>
      </c>
      <c r="F379" s="135">
        <f t="shared" si="18"/>
        <v>2671.88</v>
      </c>
      <c r="G379" s="159">
        <f t="shared" si="19"/>
        <v>2671.88</v>
      </c>
      <c r="H379" s="139"/>
      <c r="I379" s="200"/>
      <c r="J379" s="89"/>
      <c r="K379" s="92"/>
      <c r="L379" s="90"/>
    </row>
    <row r="380" spans="1:12" s="91" customFormat="1" ht="12.75">
      <c r="A380" s="249" t="s">
        <v>662</v>
      </c>
      <c r="B380" s="252" t="s">
        <v>491</v>
      </c>
      <c r="C380" s="250" t="s">
        <v>18</v>
      </c>
      <c r="D380" s="142">
        <v>5</v>
      </c>
      <c r="E380" s="135">
        <v>55.99</v>
      </c>
      <c r="F380" s="135">
        <f t="shared" si="18"/>
        <v>69.99</v>
      </c>
      <c r="G380" s="159">
        <f t="shared" si="19"/>
        <v>349.95</v>
      </c>
      <c r="H380" s="139"/>
      <c r="I380" s="200"/>
      <c r="J380" s="89"/>
      <c r="K380" s="92"/>
      <c r="L380" s="90"/>
    </row>
    <row r="381" spans="1:12" ht="12.75">
      <c r="A381" s="249" t="s">
        <v>663</v>
      </c>
      <c r="B381" s="252" t="s">
        <v>492</v>
      </c>
      <c r="C381" s="250" t="s">
        <v>18</v>
      </c>
      <c r="D381" s="142">
        <v>5</v>
      </c>
      <c r="E381" s="135">
        <v>43.99</v>
      </c>
      <c r="F381" s="135">
        <f t="shared" si="18"/>
        <v>54.99</v>
      </c>
      <c r="G381" s="159">
        <f t="shared" si="19"/>
        <v>274.95</v>
      </c>
      <c r="H381" s="139"/>
      <c r="I381" s="200"/>
      <c r="J381" s="89"/>
      <c r="K381" s="82"/>
      <c r="L381" s="90"/>
    </row>
    <row r="382" spans="1:12" ht="12.75">
      <c r="A382" s="249" t="s">
        <v>664</v>
      </c>
      <c r="B382" s="252" t="s">
        <v>493</v>
      </c>
      <c r="C382" s="250" t="s">
        <v>18</v>
      </c>
      <c r="D382" s="142">
        <v>3</v>
      </c>
      <c r="E382" s="135">
        <v>32.5</v>
      </c>
      <c r="F382" s="135">
        <f t="shared" si="18"/>
        <v>40.63</v>
      </c>
      <c r="G382" s="159">
        <f t="shared" si="19"/>
        <v>121.89</v>
      </c>
      <c r="H382" s="139"/>
      <c r="I382" s="200"/>
      <c r="J382" s="89"/>
      <c r="K382" s="82"/>
      <c r="L382" s="90"/>
    </row>
    <row r="383" spans="1:12" ht="12.75">
      <c r="A383" s="249" t="s">
        <v>665</v>
      </c>
      <c r="B383" s="252" t="s">
        <v>494</v>
      </c>
      <c r="C383" s="250" t="s">
        <v>18</v>
      </c>
      <c r="D383" s="142">
        <v>1</v>
      </c>
      <c r="E383" s="135">
        <v>19.18</v>
      </c>
      <c r="F383" s="135">
        <f t="shared" si="18"/>
        <v>23.98</v>
      </c>
      <c r="G383" s="159">
        <f t="shared" si="19"/>
        <v>23.98</v>
      </c>
      <c r="H383" s="139"/>
      <c r="I383" s="200"/>
      <c r="J383" s="89"/>
      <c r="K383" s="82"/>
      <c r="L383" s="90"/>
    </row>
    <row r="384" spans="1:12" ht="12.75">
      <c r="A384" s="249" t="s">
        <v>666</v>
      </c>
      <c r="B384" s="252" t="s">
        <v>495</v>
      </c>
      <c r="C384" s="250" t="s">
        <v>18</v>
      </c>
      <c r="D384" s="142">
        <v>5</v>
      </c>
      <c r="E384" s="135">
        <v>5</v>
      </c>
      <c r="F384" s="135">
        <f t="shared" si="18"/>
        <v>6.25</v>
      </c>
      <c r="G384" s="159">
        <f t="shared" si="19"/>
        <v>31.25</v>
      </c>
      <c r="H384" s="139"/>
      <c r="I384" s="200"/>
      <c r="J384" s="89"/>
      <c r="K384" s="82"/>
      <c r="L384" s="90"/>
    </row>
    <row r="385" spans="1:12" s="91" customFormat="1" ht="12.75">
      <c r="A385" s="249" t="s">
        <v>667</v>
      </c>
      <c r="B385" s="252" t="s">
        <v>496</v>
      </c>
      <c r="C385" s="264" t="s">
        <v>18</v>
      </c>
      <c r="D385" s="241">
        <v>5</v>
      </c>
      <c r="E385" s="135">
        <v>8.68</v>
      </c>
      <c r="F385" s="135">
        <f t="shared" si="18"/>
        <v>10.85</v>
      </c>
      <c r="G385" s="159">
        <f t="shared" si="19"/>
        <v>54.25</v>
      </c>
      <c r="H385" s="139"/>
      <c r="I385" s="200"/>
      <c r="J385" s="89"/>
      <c r="K385" s="92"/>
      <c r="L385" s="90"/>
    </row>
    <row r="386" spans="1:12" ht="22.5">
      <c r="A386" s="249" t="s">
        <v>668</v>
      </c>
      <c r="B386" s="252" t="s">
        <v>497</v>
      </c>
      <c r="C386" s="250" t="s">
        <v>18</v>
      </c>
      <c r="D386" s="142">
        <v>1</v>
      </c>
      <c r="E386" s="135">
        <v>2899.27</v>
      </c>
      <c r="F386" s="135">
        <f t="shared" si="18"/>
        <v>3624.09</v>
      </c>
      <c r="G386" s="159">
        <f t="shared" si="19"/>
        <v>3624.09</v>
      </c>
      <c r="H386" s="139"/>
      <c r="I386" s="200"/>
      <c r="J386" s="89"/>
      <c r="K386" s="82"/>
      <c r="L386" s="93"/>
    </row>
    <row r="387" spans="1:12" s="91" customFormat="1" ht="45">
      <c r="A387" s="249"/>
      <c r="B387" s="252" t="s">
        <v>498</v>
      </c>
      <c r="C387" s="250"/>
      <c r="D387" s="142"/>
      <c r="E387" s="135"/>
      <c r="F387" s="135"/>
      <c r="G387" s="159"/>
      <c r="H387" s="139"/>
      <c r="I387" s="200"/>
      <c r="J387" s="89"/>
      <c r="K387" s="92"/>
      <c r="L387" s="90"/>
    </row>
    <row r="388" spans="1:12" s="91" customFormat="1" ht="12.75">
      <c r="A388" s="249"/>
      <c r="B388" s="263" t="s">
        <v>499</v>
      </c>
      <c r="C388" s="250"/>
      <c r="D388" s="142"/>
      <c r="E388" s="135"/>
      <c r="F388" s="135"/>
      <c r="G388" s="159"/>
      <c r="H388" s="139"/>
      <c r="I388" s="200"/>
      <c r="J388" s="89"/>
      <c r="K388" s="92"/>
      <c r="L388" s="90"/>
    </row>
    <row r="389" spans="1:12" s="91" customFormat="1" ht="12.75">
      <c r="A389" s="249" t="s">
        <v>669</v>
      </c>
      <c r="B389" s="252" t="s">
        <v>500</v>
      </c>
      <c r="C389" s="264" t="s">
        <v>18</v>
      </c>
      <c r="D389" s="241">
        <v>1</v>
      </c>
      <c r="E389" s="135">
        <v>24.7</v>
      </c>
      <c r="F389" s="135">
        <f aca="true" t="shared" si="20" ref="F389:F411">ROUND(E389*$J$1,2)</f>
        <v>30.88</v>
      </c>
      <c r="G389" s="159">
        <f aca="true" t="shared" si="21" ref="G389:G411">ROUND(F389*D389,2)</f>
        <v>30.88</v>
      </c>
      <c r="H389" s="139"/>
      <c r="I389" s="200"/>
      <c r="J389" s="89"/>
      <c r="K389" s="92"/>
      <c r="L389" s="90"/>
    </row>
    <row r="390" spans="1:12" ht="12.75">
      <c r="A390" s="249" t="s">
        <v>670</v>
      </c>
      <c r="B390" s="252" t="s">
        <v>501</v>
      </c>
      <c r="C390" s="250" t="s">
        <v>18</v>
      </c>
      <c r="D390" s="142">
        <v>11</v>
      </c>
      <c r="E390" s="135">
        <v>20.56</v>
      </c>
      <c r="F390" s="135">
        <f t="shared" si="20"/>
        <v>25.7</v>
      </c>
      <c r="G390" s="159">
        <f t="shared" si="21"/>
        <v>282.7</v>
      </c>
      <c r="H390" s="139"/>
      <c r="I390" s="200"/>
      <c r="J390" s="89"/>
      <c r="K390" s="82"/>
      <c r="L390" s="93"/>
    </row>
    <row r="391" spans="1:12" s="91" customFormat="1" ht="12.75">
      <c r="A391" s="249" t="s">
        <v>671</v>
      </c>
      <c r="B391" s="252" t="s">
        <v>502</v>
      </c>
      <c r="C391" s="250" t="s">
        <v>18</v>
      </c>
      <c r="D391" s="142">
        <v>2</v>
      </c>
      <c r="E391" s="135">
        <v>88.84</v>
      </c>
      <c r="F391" s="135">
        <f t="shared" si="20"/>
        <v>111.05</v>
      </c>
      <c r="G391" s="159">
        <f t="shared" si="21"/>
        <v>222.1</v>
      </c>
      <c r="H391" s="139"/>
      <c r="I391" s="200"/>
      <c r="J391" s="89"/>
      <c r="K391" s="92"/>
      <c r="L391" s="90"/>
    </row>
    <row r="392" spans="1:12" s="91" customFormat="1" ht="12.75">
      <c r="A392" s="249" t="s">
        <v>672</v>
      </c>
      <c r="B392" s="252" t="s">
        <v>503</v>
      </c>
      <c r="C392" s="250" t="s">
        <v>18</v>
      </c>
      <c r="D392" s="142">
        <v>6</v>
      </c>
      <c r="E392" s="135">
        <v>48.78</v>
      </c>
      <c r="F392" s="135">
        <f t="shared" si="20"/>
        <v>60.98</v>
      </c>
      <c r="G392" s="159">
        <f t="shared" si="21"/>
        <v>365.88</v>
      </c>
      <c r="H392" s="139"/>
      <c r="I392" s="200"/>
      <c r="J392" s="89"/>
      <c r="K392" s="92"/>
      <c r="L392" s="90"/>
    </row>
    <row r="393" spans="1:12" ht="12.75">
      <c r="A393" s="249" t="s">
        <v>673</v>
      </c>
      <c r="B393" s="252" t="s">
        <v>504</v>
      </c>
      <c r="C393" s="250" t="s">
        <v>12</v>
      </c>
      <c r="D393" s="142">
        <v>26</v>
      </c>
      <c r="E393" s="135">
        <v>37.14</v>
      </c>
      <c r="F393" s="135">
        <f t="shared" si="20"/>
        <v>46.43</v>
      </c>
      <c r="G393" s="159">
        <f t="shared" si="21"/>
        <v>1207.18</v>
      </c>
      <c r="H393" s="139"/>
      <c r="I393" s="200"/>
      <c r="J393" s="89"/>
      <c r="K393" s="82"/>
      <c r="L393" s="90"/>
    </row>
    <row r="394" spans="1:12" ht="12.75">
      <c r="A394" s="249" t="s">
        <v>674</v>
      </c>
      <c r="B394" s="252" t="s">
        <v>505</v>
      </c>
      <c r="C394" s="250" t="s">
        <v>18</v>
      </c>
      <c r="D394" s="142">
        <v>1</v>
      </c>
      <c r="E394" s="135">
        <v>25.08</v>
      </c>
      <c r="F394" s="135">
        <f t="shared" si="20"/>
        <v>31.35</v>
      </c>
      <c r="G394" s="159">
        <f t="shared" si="21"/>
        <v>31.35</v>
      </c>
      <c r="H394" s="139"/>
      <c r="I394" s="200"/>
      <c r="J394" s="89"/>
      <c r="K394" s="82"/>
      <c r="L394" s="90"/>
    </row>
    <row r="395" spans="1:12" ht="22.5">
      <c r="A395" s="249" t="s">
        <v>675</v>
      </c>
      <c r="B395" s="252" t="s">
        <v>506</v>
      </c>
      <c r="C395" s="250" t="s">
        <v>18</v>
      </c>
      <c r="D395" s="142">
        <v>1</v>
      </c>
      <c r="E395" s="135">
        <v>4651.08</v>
      </c>
      <c r="F395" s="135">
        <f t="shared" si="20"/>
        <v>5813.85</v>
      </c>
      <c r="G395" s="159">
        <f t="shared" si="21"/>
        <v>5813.85</v>
      </c>
      <c r="H395" s="139"/>
      <c r="I395" s="200"/>
      <c r="J395" s="89"/>
      <c r="K395" s="82"/>
      <c r="L395" s="90"/>
    </row>
    <row r="396" spans="1:12" ht="12.75">
      <c r="A396" s="249" t="s">
        <v>676</v>
      </c>
      <c r="B396" s="252" t="s">
        <v>507</v>
      </c>
      <c r="C396" s="250" t="s">
        <v>18</v>
      </c>
      <c r="D396" s="142">
        <v>2</v>
      </c>
      <c r="E396" s="135">
        <v>3.93</v>
      </c>
      <c r="F396" s="135">
        <f t="shared" si="20"/>
        <v>4.91</v>
      </c>
      <c r="G396" s="159">
        <f t="shared" si="21"/>
        <v>9.82</v>
      </c>
      <c r="H396" s="139"/>
      <c r="I396" s="200"/>
      <c r="J396" s="89"/>
      <c r="K396" s="82"/>
      <c r="L396" s="90"/>
    </row>
    <row r="397" spans="1:12" s="91" customFormat="1" ht="12.75">
      <c r="A397" s="249" t="s">
        <v>677</v>
      </c>
      <c r="B397" s="252" t="s">
        <v>508</v>
      </c>
      <c r="C397" s="264" t="s">
        <v>18</v>
      </c>
      <c r="D397" s="241">
        <v>1</v>
      </c>
      <c r="E397" s="135">
        <v>5</v>
      </c>
      <c r="F397" s="135">
        <f t="shared" si="20"/>
        <v>6.25</v>
      </c>
      <c r="G397" s="159">
        <f t="shared" si="21"/>
        <v>6.25</v>
      </c>
      <c r="H397" s="139"/>
      <c r="I397" s="200"/>
      <c r="J397" s="89"/>
      <c r="K397" s="92"/>
      <c r="L397" s="90"/>
    </row>
    <row r="398" spans="1:12" ht="12.75">
      <c r="A398" s="249" t="s">
        <v>678</v>
      </c>
      <c r="B398" s="252" t="s">
        <v>509</v>
      </c>
      <c r="C398" s="250" t="s">
        <v>12</v>
      </c>
      <c r="D398" s="142">
        <v>1</v>
      </c>
      <c r="E398" s="135">
        <v>20</v>
      </c>
      <c r="F398" s="135">
        <f t="shared" si="20"/>
        <v>25</v>
      </c>
      <c r="G398" s="159">
        <f t="shared" si="21"/>
        <v>25</v>
      </c>
      <c r="H398" s="139"/>
      <c r="I398" s="200"/>
      <c r="J398" s="89"/>
      <c r="K398" s="82"/>
      <c r="L398" s="93"/>
    </row>
    <row r="399" spans="1:12" s="91" customFormat="1" ht="12.75">
      <c r="A399" s="249" t="s">
        <v>679</v>
      </c>
      <c r="B399" s="252" t="s">
        <v>510</v>
      </c>
      <c r="C399" s="250" t="s">
        <v>12</v>
      </c>
      <c r="D399" s="142">
        <v>1</v>
      </c>
      <c r="E399" s="135">
        <v>14.28</v>
      </c>
      <c r="F399" s="135">
        <f t="shared" si="20"/>
        <v>17.85</v>
      </c>
      <c r="G399" s="159">
        <f t="shared" si="21"/>
        <v>17.85</v>
      </c>
      <c r="H399" s="139"/>
      <c r="I399" s="200"/>
      <c r="J399" s="89"/>
      <c r="K399" s="92"/>
      <c r="L399" s="90"/>
    </row>
    <row r="400" spans="1:12" s="91" customFormat="1" ht="12.75">
      <c r="A400" s="249" t="s">
        <v>680</v>
      </c>
      <c r="B400" s="252" t="s">
        <v>511</v>
      </c>
      <c r="C400" s="250" t="s">
        <v>18</v>
      </c>
      <c r="D400" s="142">
        <v>2</v>
      </c>
      <c r="E400" s="135">
        <v>71.07</v>
      </c>
      <c r="F400" s="135">
        <f t="shared" si="20"/>
        <v>88.84</v>
      </c>
      <c r="G400" s="159">
        <f t="shared" si="21"/>
        <v>177.68</v>
      </c>
      <c r="H400" s="139"/>
      <c r="I400" s="200"/>
      <c r="J400" s="89"/>
      <c r="K400" s="92"/>
      <c r="L400" s="90"/>
    </row>
    <row r="401" spans="1:12" s="91" customFormat="1" ht="12.75">
      <c r="A401" s="249" t="s">
        <v>681</v>
      </c>
      <c r="B401" s="252" t="s">
        <v>512</v>
      </c>
      <c r="C401" s="264" t="s">
        <v>18</v>
      </c>
      <c r="D401" s="241">
        <v>6</v>
      </c>
      <c r="E401" s="135">
        <v>500.43</v>
      </c>
      <c r="F401" s="135">
        <f t="shared" si="20"/>
        <v>625.54</v>
      </c>
      <c r="G401" s="159">
        <f t="shared" si="21"/>
        <v>3753.24</v>
      </c>
      <c r="H401" s="139"/>
      <c r="I401" s="200"/>
      <c r="J401" s="89"/>
      <c r="K401" s="92"/>
      <c r="L401" s="90"/>
    </row>
    <row r="402" spans="1:12" ht="12.75">
      <c r="A402" s="249" t="s">
        <v>682</v>
      </c>
      <c r="B402" s="252" t="s">
        <v>513</v>
      </c>
      <c r="C402" s="250" t="s">
        <v>18</v>
      </c>
      <c r="D402" s="142">
        <v>6</v>
      </c>
      <c r="E402" s="135">
        <v>12</v>
      </c>
      <c r="F402" s="135">
        <f t="shared" si="20"/>
        <v>15</v>
      </c>
      <c r="G402" s="159">
        <f t="shared" si="21"/>
        <v>90</v>
      </c>
      <c r="H402" s="139"/>
      <c r="I402" s="200"/>
      <c r="J402" s="89"/>
      <c r="K402" s="82"/>
      <c r="L402" s="93"/>
    </row>
    <row r="403" spans="1:12" s="91" customFormat="1" ht="12.75">
      <c r="A403" s="249" t="s">
        <v>683</v>
      </c>
      <c r="B403" s="252" t="s">
        <v>514</v>
      </c>
      <c r="C403" s="250" t="s">
        <v>18</v>
      </c>
      <c r="D403" s="142">
        <v>8</v>
      </c>
      <c r="E403" s="135">
        <v>5</v>
      </c>
      <c r="F403" s="135">
        <f t="shared" si="20"/>
        <v>6.25</v>
      </c>
      <c r="G403" s="159">
        <f t="shared" si="21"/>
        <v>50</v>
      </c>
      <c r="H403" s="139"/>
      <c r="I403" s="200"/>
      <c r="J403" s="89"/>
      <c r="K403" s="92"/>
      <c r="L403" s="90"/>
    </row>
    <row r="404" spans="1:12" s="91" customFormat="1" ht="12.75">
      <c r="A404" s="249" t="s">
        <v>684</v>
      </c>
      <c r="B404" s="252" t="s">
        <v>515</v>
      </c>
      <c r="C404" s="250" t="s">
        <v>18</v>
      </c>
      <c r="D404" s="142">
        <v>1</v>
      </c>
      <c r="E404" s="135">
        <v>751.83</v>
      </c>
      <c r="F404" s="135">
        <f t="shared" si="20"/>
        <v>939.79</v>
      </c>
      <c r="G404" s="159">
        <f t="shared" si="21"/>
        <v>939.79</v>
      </c>
      <c r="H404" s="139"/>
      <c r="I404" s="200"/>
      <c r="J404" s="89"/>
      <c r="K404" s="92"/>
      <c r="L404" s="90"/>
    </row>
    <row r="405" spans="1:12" ht="12.75">
      <c r="A405" s="249" t="s">
        <v>685</v>
      </c>
      <c r="B405" s="252" t="s">
        <v>516</v>
      </c>
      <c r="C405" s="250" t="s">
        <v>18</v>
      </c>
      <c r="D405" s="142">
        <v>1</v>
      </c>
      <c r="E405" s="135">
        <v>400</v>
      </c>
      <c r="F405" s="135">
        <f t="shared" si="20"/>
        <v>500</v>
      </c>
      <c r="G405" s="159">
        <f t="shared" si="21"/>
        <v>500</v>
      </c>
      <c r="H405" s="139"/>
      <c r="I405" s="200"/>
      <c r="J405" s="89"/>
      <c r="K405" s="82"/>
      <c r="L405" s="90"/>
    </row>
    <row r="406" spans="1:12" ht="12.75">
      <c r="A406" s="249" t="s">
        <v>686</v>
      </c>
      <c r="B406" s="252" t="s">
        <v>517</v>
      </c>
      <c r="C406" s="250" t="s">
        <v>6</v>
      </c>
      <c r="D406" s="142">
        <v>1.75</v>
      </c>
      <c r="E406" s="135">
        <v>159.72</v>
      </c>
      <c r="F406" s="135">
        <f t="shared" si="20"/>
        <v>199.65</v>
      </c>
      <c r="G406" s="159">
        <f t="shared" si="21"/>
        <v>349.39</v>
      </c>
      <c r="H406" s="139"/>
      <c r="I406" s="200"/>
      <c r="J406" s="89"/>
      <c r="K406" s="82"/>
      <c r="L406" s="90"/>
    </row>
    <row r="407" spans="1:12" ht="12.75">
      <c r="A407" s="249"/>
      <c r="B407" s="263" t="s">
        <v>518</v>
      </c>
      <c r="C407" s="250"/>
      <c r="D407" s="142"/>
      <c r="E407" s="135"/>
      <c r="F407" s="135"/>
      <c r="G407" s="159"/>
      <c r="H407" s="139"/>
      <c r="I407" s="200"/>
      <c r="J407" s="89"/>
      <c r="K407" s="82"/>
      <c r="L407" s="90"/>
    </row>
    <row r="408" spans="1:12" ht="12.75">
      <c r="A408" s="249" t="s">
        <v>687</v>
      </c>
      <c r="B408" s="252" t="s">
        <v>519</v>
      </c>
      <c r="C408" s="250" t="s">
        <v>18</v>
      </c>
      <c r="D408" s="142">
        <v>6</v>
      </c>
      <c r="E408" s="135">
        <v>11.65</v>
      </c>
      <c r="F408" s="135">
        <f t="shared" si="20"/>
        <v>14.56</v>
      </c>
      <c r="G408" s="159">
        <f t="shared" si="21"/>
        <v>87.36</v>
      </c>
      <c r="H408" s="139"/>
      <c r="I408" s="200"/>
      <c r="J408" s="89"/>
      <c r="K408" s="82"/>
      <c r="L408" s="90"/>
    </row>
    <row r="409" spans="1:12" s="91" customFormat="1" ht="22.5">
      <c r="A409" s="249" t="s">
        <v>688</v>
      </c>
      <c r="B409" s="252" t="s">
        <v>520</v>
      </c>
      <c r="C409" s="264" t="s">
        <v>18</v>
      </c>
      <c r="D409" s="241">
        <v>1</v>
      </c>
      <c r="E409" s="135">
        <v>11.65</v>
      </c>
      <c r="F409" s="135">
        <f t="shared" si="20"/>
        <v>14.56</v>
      </c>
      <c r="G409" s="159">
        <f t="shared" si="21"/>
        <v>14.56</v>
      </c>
      <c r="H409" s="139"/>
      <c r="I409" s="200"/>
      <c r="J409" s="89"/>
      <c r="K409" s="92"/>
      <c r="L409" s="90"/>
    </row>
    <row r="410" spans="1:12" ht="22.5">
      <c r="A410" s="249" t="s">
        <v>689</v>
      </c>
      <c r="B410" s="252" t="s">
        <v>521</v>
      </c>
      <c r="C410" s="250" t="s">
        <v>18</v>
      </c>
      <c r="D410" s="142">
        <v>10</v>
      </c>
      <c r="E410" s="135">
        <v>11.65</v>
      </c>
      <c r="F410" s="135">
        <f t="shared" si="20"/>
        <v>14.56</v>
      </c>
      <c r="G410" s="159">
        <f t="shared" si="21"/>
        <v>145.6</v>
      </c>
      <c r="H410" s="139"/>
      <c r="I410" s="200"/>
      <c r="J410" s="89"/>
      <c r="K410" s="82"/>
      <c r="L410" s="93"/>
    </row>
    <row r="411" spans="1:12" s="91" customFormat="1" ht="12.75">
      <c r="A411" s="249" t="s">
        <v>690</v>
      </c>
      <c r="B411" s="252" t="s">
        <v>522</v>
      </c>
      <c r="C411" s="250" t="s">
        <v>18</v>
      </c>
      <c r="D411" s="142">
        <v>9</v>
      </c>
      <c r="E411" s="135">
        <v>11.65</v>
      </c>
      <c r="F411" s="135">
        <f t="shared" si="20"/>
        <v>14.56</v>
      </c>
      <c r="G411" s="159">
        <f t="shared" si="21"/>
        <v>131.04</v>
      </c>
      <c r="H411" s="139"/>
      <c r="I411" s="200"/>
      <c r="J411" s="89"/>
      <c r="K411" s="92"/>
      <c r="L411" s="90"/>
    </row>
    <row r="412" spans="1:12" ht="12.75">
      <c r="A412" s="166"/>
      <c r="B412" s="167" t="s">
        <v>68</v>
      </c>
      <c r="C412" s="168"/>
      <c r="D412" s="197"/>
      <c r="E412" s="170"/>
      <c r="F412" s="170"/>
      <c r="G412" s="171">
        <f>SUM(G322:G411)</f>
        <v>146423.47000000003</v>
      </c>
      <c r="H412" s="137">
        <f>G412/G441</f>
        <v>0.11609983296038803</v>
      </c>
      <c r="J412" s="89"/>
      <c r="K412" s="82"/>
      <c r="L412" s="83"/>
    </row>
    <row r="413" spans="1:12" s="82" customFormat="1" ht="12.75">
      <c r="A413" s="161">
        <v>19</v>
      </c>
      <c r="B413" s="138" t="s">
        <v>110</v>
      </c>
      <c r="C413" s="150"/>
      <c r="D413" s="141"/>
      <c r="E413" s="135"/>
      <c r="F413" s="135"/>
      <c r="G413" s="164"/>
      <c r="H413" s="139"/>
      <c r="I413" s="208"/>
      <c r="J413" s="89"/>
      <c r="L413" s="90"/>
    </row>
    <row r="414" spans="1:12" s="82" customFormat="1" ht="12.75">
      <c r="A414" s="226" t="s">
        <v>104</v>
      </c>
      <c r="B414" s="243" t="s">
        <v>65</v>
      </c>
      <c r="C414" s="227" t="s">
        <v>6</v>
      </c>
      <c r="D414" s="241">
        <v>12.11</v>
      </c>
      <c r="E414" s="228">
        <v>34.71</v>
      </c>
      <c r="F414" s="228">
        <f aca="true" t="shared" si="22" ref="F414:F419">ROUND(E414*$J$1,2)</f>
        <v>43.39</v>
      </c>
      <c r="G414" s="239">
        <f aca="true" t="shared" si="23" ref="G414:G419">ROUND(F414*D414,2)</f>
        <v>525.45</v>
      </c>
      <c r="H414" s="139"/>
      <c r="I414" s="208" t="s">
        <v>97</v>
      </c>
      <c r="J414" s="89"/>
      <c r="L414" s="90"/>
    </row>
    <row r="415" spans="1:12" s="82" customFormat="1" ht="12" customHeight="1">
      <c r="A415" s="226" t="s">
        <v>111</v>
      </c>
      <c r="B415" s="243" t="s">
        <v>221</v>
      </c>
      <c r="C415" s="227" t="s">
        <v>6</v>
      </c>
      <c r="D415" s="241">
        <v>4.92</v>
      </c>
      <c r="E415" s="228">
        <f>2034*0.8</f>
        <v>1627.2</v>
      </c>
      <c r="F415" s="228">
        <f>ROUND(E415*$J$1,2)</f>
        <v>2034</v>
      </c>
      <c r="G415" s="239">
        <f>ROUND(F415*D415,2)</f>
        <v>10007.28</v>
      </c>
      <c r="H415" s="139"/>
      <c r="I415" s="208" t="s">
        <v>273</v>
      </c>
      <c r="J415" s="89"/>
      <c r="L415" s="90"/>
    </row>
    <row r="416" spans="1:12" s="82" customFormat="1" ht="12.75">
      <c r="A416" s="226" t="s">
        <v>112</v>
      </c>
      <c r="B416" s="243" t="s">
        <v>94</v>
      </c>
      <c r="C416" s="227" t="s">
        <v>6</v>
      </c>
      <c r="D416" s="241">
        <v>7.19</v>
      </c>
      <c r="E416" s="228">
        <v>32.04</v>
      </c>
      <c r="F416" s="228">
        <f t="shared" si="22"/>
        <v>40.05</v>
      </c>
      <c r="G416" s="239">
        <f t="shared" si="23"/>
        <v>287.96</v>
      </c>
      <c r="H416" s="139"/>
      <c r="I416" s="208" t="s">
        <v>98</v>
      </c>
      <c r="J416" s="89"/>
      <c r="L416" s="90"/>
    </row>
    <row r="417" spans="1:12" ht="12.75">
      <c r="A417" s="226" t="s">
        <v>268</v>
      </c>
      <c r="B417" s="243" t="s">
        <v>267</v>
      </c>
      <c r="C417" s="227" t="s">
        <v>6</v>
      </c>
      <c r="D417" s="241">
        <v>8.06</v>
      </c>
      <c r="E417" s="228">
        <v>2034</v>
      </c>
      <c r="F417" s="228">
        <f t="shared" si="22"/>
        <v>2542.5</v>
      </c>
      <c r="G417" s="239">
        <f t="shared" si="23"/>
        <v>20492.55</v>
      </c>
      <c r="H417" s="139"/>
      <c r="I417" s="202" t="s">
        <v>99</v>
      </c>
      <c r="J417" s="89"/>
      <c r="K417" s="82"/>
      <c r="L417" s="90"/>
    </row>
    <row r="418" spans="1:16" s="91" customFormat="1" ht="12.75">
      <c r="A418" s="226" t="s">
        <v>138</v>
      </c>
      <c r="B418" s="243" t="s">
        <v>118</v>
      </c>
      <c r="C418" s="227" t="s">
        <v>6</v>
      </c>
      <c r="D418" s="241">
        <v>22.77</v>
      </c>
      <c r="E418" s="228">
        <v>2034</v>
      </c>
      <c r="F418" s="228">
        <f t="shared" si="22"/>
        <v>2542.5</v>
      </c>
      <c r="G418" s="239">
        <f t="shared" si="23"/>
        <v>57892.73</v>
      </c>
      <c r="H418" s="139"/>
      <c r="I418" s="200" t="s">
        <v>99</v>
      </c>
      <c r="J418" s="199"/>
      <c r="K418" s="199"/>
      <c r="L418" s="199"/>
      <c r="M418" s="199"/>
      <c r="N418" s="199"/>
      <c r="O418" s="199"/>
      <c r="P418" s="199"/>
    </row>
    <row r="419" spans="1:12" s="91" customFormat="1" ht="33.75">
      <c r="A419" s="226" t="s">
        <v>139</v>
      </c>
      <c r="B419" s="243" t="s">
        <v>270</v>
      </c>
      <c r="C419" s="227" t="s">
        <v>4</v>
      </c>
      <c r="D419" s="241">
        <v>210</v>
      </c>
      <c r="E419" s="228">
        <v>81.52</v>
      </c>
      <c r="F419" s="228">
        <f t="shared" si="22"/>
        <v>101.9</v>
      </c>
      <c r="G419" s="239">
        <f t="shared" si="23"/>
        <v>21399</v>
      </c>
      <c r="H419" s="139"/>
      <c r="I419" s="200" t="s">
        <v>271</v>
      </c>
      <c r="J419" s="89"/>
      <c r="K419" s="92"/>
      <c r="L419" s="90"/>
    </row>
    <row r="420" spans="1:12" ht="12.75">
      <c r="A420" s="226" t="s">
        <v>269</v>
      </c>
      <c r="B420" s="201" t="s">
        <v>106</v>
      </c>
      <c r="C420" s="150" t="s">
        <v>4</v>
      </c>
      <c r="D420" s="142">
        <v>113</v>
      </c>
      <c r="E420" s="135">
        <v>42.97</v>
      </c>
      <c r="F420" s="135">
        <f aca="true" t="shared" si="24" ref="F420:F425">ROUND(E420*$J$1,2)</f>
        <v>53.71</v>
      </c>
      <c r="G420" s="159">
        <f aca="true" t="shared" si="25" ref="G420:G425">ROUND(F420*D420,2)</f>
        <v>6069.23</v>
      </c>
      <c r="H420" s="139"/>
      <c r="I420" s="200" t="s">
        <v>107</v>
      </c>
      <c r="J420" s="89"/>
      <c r="K420" s="82"/>
      <c r="L420" s="93"/>
    </row>
    <row r="421" spans="1:12" ht="22.5">
      <c r="A421" s="226" t="s">
        <v>282</v>
      </c>
      <c r="B421" s="201" t="s">
        <v>284</v>
      </c>
      <c r="C421" s="150" t="s">
        <v>4</v>
      </c>
      <c r="D421" s="213">
        <v>256.69</v>
      </c>
      <c r="E421" s="135">
        <v>4.65</v>
      </c>
      <c r="F421" s="135">
        <f t="shared" si="24"/>
        <v>5.81</v>
      </c>
      <c r="G421" s="159">
        <f t="shared" si="25"/>
        <v>1491.37</v>
      </c>
      <c r="H421" s="139"/>
      <c r="I421" s="202" t="s">
        <v>122</v>
      </c>
      <c r="J421" s="89"/>
      <c r="K421" s="82"/>
      <c r="L421" s="83"/>
    </row>
    <row r="422" spans="1:12" s="119" customFormat="1" ht="11.25" customHeight="1">
      <c r="A422" s="226" t="s">
        <v>283</v>
      </c>
      <c r="B422" s="212" t="s">
        <v>125</v>
      </c>
      <c r="C422" s="214" t="s">
        <v>4</v>
      </c>
      <c r="D422" s="213">
        <v>256.69</v>
      </c>
      <c r="E422" s="216">
        <v>10.94</v>
      </c>
      <c r="F422" s="135">
        <f t="shared" si="24"/>
        <v>13.68</v>
      </c>
      <c r="G422" s="159">
        <f t="shared" si="25"/>
        <v>3511.52</v>
      </c>
      <c r="H422" s="139"/>
      <c r="I422" s="207" t="s">
        <v>123</v>
      </c>
      <c r="J422" s="116"/>
      <c r="K422" s="117"/>
      <c r="L422" s="118"/>
    </row>
    <row r="423" spans="1:12" ht="22.5">
      <c r="A423" s="226" t="s">
        <v>285</v>
      </c>
      <c r="B423" s="201" t="s">
        <v>90</v>
      </c>
      <c r="C423" s="150" t="s">
        <v>4</v>
      </c>
      <c r="D423" s="213">
        <v>256.69</v>
      </c>
      <c r="E423" s="135">
        <v>3.5</v>
      </c>
      <c r="F423" s="135">
        <f t="shared" si="24"/>
        <v>4.38</v>
      </c>
      <c r="G423" s="159">
        <f t="shared" si="25"/>
        <v>1124.3</v>
      </c>
      <c r="H423" s="139"/>
      <c r="J423" s="89"/>
      <c r="K423" s="82"/>
      <c r="L423" s="93"/>
    </row>
    <row r="424" spans="1:12" s="91" customFormat="1" ht="22.5">
      <c r="A424" s="226" t="s">
        <v>286</v>
      </c>
      <c r="B424" s="201" t="s">
        <v>220</v>
      </c>
      <c r="C424" s="150" t="s">
        <v>4</v>
      </c>
      <c r="D424" s="142">
        <v>256.69</v>
      </c>
      <c r="E424" s="135">
        <v>8.38</v>
      </c>
      <c r="F424" s="135">
        <f t="shared" si="24"/>
        <v>10.48</v>
      </c>
      <c r="G424" s="159">
        <f t="shared" si="25"/>
        <v>2690.11</v>
      </c>
      <c r="H424" s="139"/>
      <c r="I424" s="200" t="s">
        <v>132</v>
      </c>
      <c r="J424" s="89"/>
      <c r="K424" s="92"/>
      <c r="L424" s="90"/>
    </row>
    <row r="425" spans="1:12" s="91" customFormat="1" ht="14.25" customHeight="1">
      <c r="A425" s="226" t="s">
        <v>287</v>
      </c>
      <c r="B425" s="243" t="s">
        <v>119</v>
      </c>
      <c r="C425" s="227" t="s">
        <v>4</v>
      </c>
      <c r="D425" s="241">
        <v>205</v>
      </c>
      <c r="E425" s="228">
        <v>52.02</v>
      </c>
      <c r="F425" s="228">
        <f t="shared" si="24"/>
        <v>65.03</v>
      </c>
      <c r="G425" s="239">
        <f t="shared" si="25"/>
        <v>13331.15</v>
      </c>
      <c r="H425" s="139"/>
      <c r="I425" s="200" t="s">
        <v>272</v>
      </c>
      <c r="J425" s="89"/>
      <c r="K425" s="92"/>
      <c r="L425" s="90"/>
    </row>
    <row r="426" spans="1:12" ht="12.75">
      <c r="A426" s="198"/>
      <c r="B426" s="167" t="s">
        <v>68</v>
      </c>
      <c r="C426" s="168"/>
      <c r="D426" s="197"/>
      <c r="E426" s="170"/>
      <c r="F426" s="170"/>
      <c r="G426" s="171">
        <f>SUM(G414:G425)</f>
        <v>138822.65</v>
      </c>
      <c r="H426" s="137">
        <f>G426/G441</f>
        <v>0.11007310833514879</v>
      </c>
      <c r="J426" s="89"/>
      <c r="K426" s="82"/>
      <c r="L426" s="83"/>
    </row>
    <row r="427" spans="1:12" ht="12.75">
      <c r="A427" s="161">
        <v>20</v>
      </c>
      <c r="B427" s="143" t="s">
        <v>11</v>
      </c>
      <c r="C427" s="140"/>
      <c r="D427" s="142"/>
      <c r="E427" s="135"/>
      <c r="F427" s="135"/>
      <c r="G427" s="162"/>
      <c r="H427" s="139"/>
      <c r="J427" s="89"/>
      <c r="K427" s="82"/>
      <c r="L427" s="93"/>
    </row>
    <row r="428" spans="1:12" ht="22.5">
      <c r="A428" s="160" t="s">
        <v>113</v>
      </c>
      <c r="B428" s="201" t="s">
        <v>90</v>
      </c>
      <c r="C428" s="150" t="s">
        <v>4</v>
      </c>
      <c r="D428" s="142">
        <v>1200</v>
      </c>
      <c r="E428" s="135">
        <v>3.5</v>
      </c>
      <c r="F428" s="135">
        <f>ROUND(E428*$J$1,2)</f>
        <v>4.38</v>
      </c>
      <c r="G428" s="159">
        <f>ROUND(F428*D428,2)</f>
        <v>5256</v>
      </c>
      <c r="H428" s="139"/>
      <c r="J428" s="89"/>
      <c r="K428" s="82"/>
      <c r="L428" s="93"/>
    </row>
    <row r="429" spans="1:12" s="91" customFormat="1" ht="22.5">
      <c r="A429" s="160" t="s">
        <v>140</v>
      </c>
      <c r="B429" s="201" t="s">
        <v>220</v>
      </c>
      <c r="C429" s="150" t="s">
        <v>4</v>
      </c>
      <c r="D429" s="142">
        <v>1200</v>
      </c>
      <c r="E429" s="135">
        <v>8.38</v>
      </c>
      <c r="F429" s="135">
        <f>ROUND(E429*$J$1,2)</f>
        <v>10.48</v>
      </c>
      <c r="G429" s="159">
        <f>ROUND(F429*D429,2)</f>
        <v>12576</v>
      </c>
      <c r="H429" s="139"/>
      <c r="I429" s="200" t="s">
        <v>132</v>
      </c>
      <c r="J429" s="89"/>
      <c r="K429" s="92"/>
      <c r="L429" s="90"/>
    </row>
    <row r="430" spans="1:12" ht="22.5">
      <c r="A430" s="160" t="s">
        <v>141</v>
      </c>
      <c r="B430" s="201" t="s">
        <v>91</v>
      </c>
      <c r="C430" s="150" t="s">
        <v>4</v>
      </c>
      <c r="D430" s="142">
        <v>520</v>
      </c>
      <c r="E430" s="135">
        <v>3.5</v>
      </c>
      <c r="F430" s="135">
        <f>ROUND(E430*$J$1,2)</f>
        <v>4.38</v>
      </c>
      <c r="G430" s="159">
        <f>ROUND(F430*D430,2)</f>
        <v>2277.6</v>
      </c>
      <c r="H430" s="139"/>
      <c r="J430" s="89"/>
      <c r="K430" s="82"/>
      <c r="L430" s="90"/>
    </row>
    <row r="431" spans="1:12" ht="22.5">
      <c r="A431" s="160" t="s">
        <v>142</v>
      </c>
      <c r="B431" s="201" t="s">
        <v>82</v>
      </c>
      <c r="C431" s="150" t="s">
        <v>4</v>
      </c>
      <c r="D431" s="142">
        <v>520</v>
      </c>
      <c r="E431" s="135">
        <v>9.46</v>
      </c>
      <c r="F431" s="135">
        <f>ROUND(E431*$J$1,2)</f>
        <v>11.83</v>
      </c>
      <c r="G431" s="159">
        <f>ROUND(F431*D431,2)</f>
        <v>6151.6</v>
      </c>
      <c r="H431" s="139"/>
      <c r="I431" s="200" t="s">
        <v>250</v>
      </c>
      <c r="J431" s="89"/>
      <c r="K431" s="82"/>
      <c r="L431" s="90"/>
    </row>
    <row r="432" spans="1:12" ht="13.5" customHeight="1">
      <c r="A432" s="166"/>
      <c r="B432" s="167" t="s">
        <v>68</v>
      </c>
      <c r="C432" s="168"/>
      <c r="D432" s="197"/>
      <c r="E432" s="170"/>
      <c r="F432" s="170"/>
      <c r="G432" s="171">
        <f>SUM(G428:G431)</f>
        <v>26261.199999999997</v>
      </c>
      <c r="H432" s="137">
        <f>G432/G441</f>
        <v>0.020822624496874314</v>
      </c>
      <c r="J432" s="89"/>
      <c r="K432" s="82"/>
      <c r="L432" s="90"/>
    </row>
    <row r="433" spans="1:12" ht="12.75">
      <c r="A433" s="161">
        <v>21</v>
      </c>
      <c r="B433" s="143" t="s">
        <v>709</v>
      </c>
      <c r="C433" s="140"/>
      <c r="D433" s="142"/>
      <c r="E433" s="135"/>
      <c r="F433" s="135"/>
      <c r="G433" s="162"/>
      <c r="H433" s="139"/>
      <c r="J433" s="89"/>
      <c r="K433" s="82"/>
      <c r="L433" s="90"/>
    </row>
    <row r="434" spans="1:12" ht="12.75">
      <c r="A434" s="160" t="s">
        <v>137</v>
      </c>
      <c r="B434" s="201" t="s">
        <v>710</v>
      </c>
      <c r="C434" s="150" t="s">
        <v>12</v>
      </c>
      <c r="D434" s="142">
        <v>10</v>
      </c>
      <c r="E434" s="135">
        <v>26.52</v>
      </c>
      <c r="F434" s="135">
        <f>ROUND(E434*$J$1,2)</f>
        <v>33.15</v>
      </c>
      <c r="G434" s="159">
        <f>ROUND(F434*D434,2)</f>
        <v>331.5</v>
      </c>
      <c r="H434" s="139"/>
      <c r="I434" s="200" t="s">
        <v>713</v>
      </c>
      <c r="J434" s="89"/>
      <c r="K434" s="82"/>
      <c r="L434" s="90"/>
    </row>
    <row r="435" spans="1:12" ht="12.75">
      <c r="A435" s="160" t="s">
        <v>707</v>
      </c>
      <c r="B435" s="218" t="s">
        <v>109</v>
      </c>
      <c r="C435" s="219" t="s">
        <v>12</v>
      </c>
      <c r="D435" s="142">
        <v>10</v>
      </c>
      <c r="E435" s="135">
        <v>2.29</v>
      </c>
      <c r="F435" s="135">
        <f>ROUND(E435*$J$1,2)</f>
        <v>2.86</v>
      </c>
      <c r="G435" s="159">
        <f>ROUND(F435*D435,2)</f>
        <v>28.6</v>
      </c>
      <c r="H435" s="78"/>
      <c r="I435" s="208" t="s">
        <v>242</v>
      </c>
      <c r="J435" s="89"/>
      <c r="K435" s="82"/>
      <c r="L435" s="93"/>
    </row>
    <row r="436" spans="1:12" s="91" customFormat="1" ht="12.75">
      <c r="A436" s="160" t="s">
        <v>708</v>
      </c>
      <c r="B436" s="201" t="s">
        <v>711</v>
      </c>
      <c r="C436" s="150" t="s">
        <v>170</v>
      </c>
      <c r="D436" s="142">
        <v>10</v>
      </c>
      <c r="E436" s="135">
        <v>24.58</v>
      </c>
      <c r="F436" s="135">
        <f>ROUND(E436*$J$1,2)</f>
        <v>30.73</v>
      </c>
      <c r="G436" s="159">
        <f>ROUND(F436*D436,2)</f>
        <v>307.3</v>
      </c>
      <c r="I436" s="200" t="s">
        <v>714</v>
      </c>
      <c r="J436" s="89"/>
      <c r="K436" s="92"/>
      <c r="L436" s="90"/>
    </row>
    <row r="437" spans="1:12" ht="12.75">
      <c r="A437" s="166"/>
      <c r="B437" s="167" t="s">
        <v>68</v>
      </c>
      <c r="C437" s="168"/>
      <c r="D437" s="197"/>
      <c r="E437" s="170"/>
      <c r="F437" s="170"/>
      <c r="G437" s="171">
        <f>SUM(G434:G436)</f>
        <v>667.4000000000001</v>
      </c>
      <c r="H437" s="137">
        <f>G437/G441</f>
        <v>0.0005291844846851599</v>
      </c>
      <c r="I437" s="206"/>
      <c r="J437" s="89"/>
      <c r="K437" s="82"/>
      <c r="L437" s="90"/>
    </row>
    <row r="438" spans="1:12" ht="12.75">
      <c r="A438" s="158">
        <v>22</v>
      </c>
      <c r="B438" s="143" t="s">
        <v>15</v>
      </c>
      <c r="C438" s="150"/>
      <c r="D438" s="142"/>
      <c r="E438" s="135"/>
      <c r="F438" s="135"/>
      <c r="G438" s="159"/>
      <c r="I438" s="206"/>
      <c r="J438" s="89"/>
      <c r="K438" s="82"/>
      <c r="L438" s="90"/>
    </row>
    <row r="439" spans="1:12" s="91" customFormat="1" ht="12.75">
      <c r="A439" s="160" t="s">
        <v>712</v>
      </c>
      <c r="B439" s="201" t="s">
        <v>67</v>
      </c>
      <c r="C439" s="150" t="s">
        <v>4</v>
      </c>
      <c r="D439" s="142">
        <v>831.91</v>
      </c>
      <c r="E439" s="135">
        <v>1.69</v>
      </c>
      <c r="F439" s="135">
        <f>ROUND(E439*$J$1,2)</f>
        <v>2.11</v>
      </c>
      <c r="G439" s="159">
        <f>ROUND(F439*D439,2)</f>
        <v>1755.33</v>
      </c>
      <c r="H439" s="130"/>
      <c r="I439" s="206"/>
      <c r="J439" s="89"/>
      <c r="K439" s="92"/>
      <c r="L439" s="90"/>
    </row>
    <row r="440" spans="1:12" s="91" customFormat="1" ht="12.75">
      <c r="A440" s="166"/>
      <c r="B440" s="167" t="s">
        <v>68</v>
      </c>
      <c r="C440" s="168"/>
      <c r="D440" s="197"/>
      <c r="E440" s="170"/>
      <c r="F440" s="170"/>
      <c r="G440" s="171">
        <f>SUM(G439)</f>
        <v>1755.33</v>
      </c>
      <c r="H440" s="137">
        <f>G440/G441</f>
        <v>0.0013918091122301491</v>
      </c>
      <c r="I440" s="206"/>
      <c r="J440" s="89"/>
      <c r="K440" s="92"/>
      <c r="L440" s="90"/>
    </row>
    <row r="441" spans="1:12" s="91" customFormat="1" ht="13.5" thickBot="1">
      <c r="A441" s="244"/>
      <c r="B441" s="245" t="s">
        <v>69</v>
      </c>
      <c r="C441" s="246"/>
      <c r="D441" s="246"/>
      <c r="E441" s="246"/>
      <c r="F441" s="246"/>
      <c r="G441" s="247">
        <f>SUM(G440+G432+G426+G412+G320+G126+G121+G113+G91+G87+G79+G73+G64+G57+G53+G50+G41+G35+G31+G22+G16+G437)</f>
        <v>1261185.8800000004</v>
      </c>
      <c r="H441" s="137">
        <f>SUM(H1:H440)</f>
        <v>1</v>
      </c>
      <c r="I441" s="206"/>
      <c r="J441" s="89"/>
      <c r="K441" s="92"/>
      <c r="L441" s="90"/>
    </row>
    <row r="442" spans="9:12" ht="12.75">
      <c r="I442" s="206"/>
      <c r="J442" s="89"/>
      <c r="K442" s="82"/>
      <c r="L442" s="93"/>
    </row>
    <row r="443" spans="1:12" s="91" customFormat="1" ht="14.25">
      <c r="A443" s="79"/>
      <c r="B443" s="78"/>
      <c r="C443" s="151"/>
      <c r="D443" s="120"/>
      <c r="E443" s="101"/>
      <c r="F443" s="101"/>
      <c r="G443" s="102"/>
      <c r="H443" s="130"/>
      <c r="I443" s="206"/>
      <c r="J443" s="89"/>
      <c r="K443" s="92"/>
      <c r="L443" s="90"/>
    </row>
    <row r="444" spans="1:12" s="91" customFormat="1" ht="12.75">
      <c r="A444" s="79"/>
      <c r="C444" s="152"/>
      <c r="G444" s="80"/>
      <c r="H444" s="130"/>
      <c r="I444" s="206"/>
      <c r="J444" s="89"/>
      <c r="K444" s="92"/>
      <c r="L444" s="90"/>
    </row>
    <row r="445" spans="1:12" ht="12.75">
      <c r="A445" s="268"/>
      <c r="B445" s="269"/>
      <c r="C445" s="269"/>
      <c r="D445" s="269"/>
      <c r="E445" s="269"/>
      <c r="F445" s="269"/>
      <c r="G445" s="269"/>
      <c r="I445" s="206"/>
      <c r="J445" s="89"/>
      <c r="K445" s="82"/>
      <c r="L445" s="83"/>
    </row>
    <row r="446" spans="1:12" ht="12.75">
      <c r="A446" s="268"/>
      <c r="B446" s="269"/>
      <c r="C446" s="269"/>
      <c r="D446" s="269"/>
      <c r="E446" s="269"/>
      <c r="F446" s="269"/>
      <c r="G446" s="269"/>
      <c r="I446" s="206"/>
      <c r="J446" s="89"/>
      <c r="K446" s="82"/>
      <c r="L446" s="93"/>
    </row>
    <row r="447" spans="1:12" s="91" customFormat="1" ht="12.75">
      <c r="A447" s="268"/>
      <c r="B447" s="269"/>
      <c r="C447" s="269"/>
      <c r="D447" s="269"/>
      <c r="E447" s="269"/>
      <c r="F447" s="269"/>
      <c r="G447" s="269"/>
      <c r="H447" s="130"/>
      <c r="I447" s="206"/>
      <c r="J447" s="89"/>
      <c r="K447" s="92"/>
      <c r="L447" s="90"/>
    </row>
    <row r="448" spans="1:12" s="91" customFormat="1" ht="12.75">
      <c r="A448" s="79"/>
      <c r="B448" s="78"/>
      <c r="C448" s="151"/>
      <c r="D448" s="114"/>
      <c r="E448" s="154"/>
      <c r="F448" s="80"/>
      <c r="G448" s="80"/>
      <c r="H448" s="130"/>
      <c r="I448" s="206"/>
      <c r="J448" s="89"/>
      <c r="K448" s="92"/>
      <c r="L448" s="90"/>
    </row>
    <row r="449" spans="1:12" s="91" customFormat="1" ht="12.75">
      <c r="A449" s="81"/>
      <c r="B449" s="82"/>
      <c r="C449" s="106"/>
      <c r="D449" s="115"/>
      <c r="E449" s="155"/>
      <c r="F449" s="83"/>
      <c r="G449" s="83"/>
      <c r="H449" s="130"/>
      <c r="I449" s="206"/>
      <c r="J449" s="89"/>
      <c r="K449" s="92"/>
      <c r="L449" s="90"/>
    </row>
    <row r="450" spans="1:12" s="91" customFormat="1" ht="12.75">
      <c r="A450" s="81"/>
      <c r="B450" s="82"/>
      <c r="C450" s="106"/>
      <c r="D450" s="115"/>
      <c r="E450" s="155"/>
      <c r="F450" s="83"/>
      <c r="G450" s="83"/>
      <c r="H450" s="130"/>
      <c r="I450" s="206"/>
      <c r="J450" s="89"/>
      <c r="K450" s="92"/>
      <c r="L450" s="90"/>
    </row>
    <row r="451" spans="1:12" s="91" customFormat="1" ht="12.75">
      <c r="A451" s="81"/>
      <c r="B451" s="82"/>
      <c r="C451" s="106"/>
      <c r="D451" s="115"/>
      <c r="E451" s="155"/>
      <c r="F451" s="83"/>
      <c r="G451" s="83"/>
      <c r="H451" s="130"/>
      <c r="I451" s="206"/>
      <c r="J451" s="89"/>
      <c r="K451" s="92"/>
      <c r="L451" s="90"/>
    </row>
    <row r="452" spans="1:12" s="91" customFormat="1" ht="12.75">
      <c r="A452" s="81"/>
      <c r="B452" s="82"/>
      <c r="C452" s="106"/>
      <c r="D452" s="115"/>
      <c r="E452" s="155"/>
      <c r="F452" s="83"/>
      <c r="G452" s="83"/>
      <c r="H452" s="130"/>
      <c r="I452" s="206"/>
      <c r="J452" s="89"/>
      <c r="K452" s="92"/>
      <c r="L452" s="90"/>
    </row>
    <row r="453" spans="1:12" ht="12.75">
      <c r="A453" s="81"/>
      <c r="B453" s="82"/>
      <c r="C453" s="106"/>
      <c r="D453" s="115"/>
      <c r="E453" s="155"/>
      <c r="F453" s="83"/>
      <c r="G453" s="83"/>
      <c r="I453" s="206"/>
      <c r="J453" s="89"/>
      <c r="K453" s="82"/>
      <c r="L453" s="83"/>
    </row>
    <row r="454" spans="1:12" ht="12.75">
      <c r="A454" s="81"/>
      <c r="B454" s="82"/>
      <c r="C454" s="106"/>
      <c r="D454" s="115"/>
      <c r="E454" s="155"/>
      <c r="F454" s="83"/>
      <c r="G454" s="83"/>
      <c r="I454" s="206"/>
      <c r="J454" s="89"/>
      <c r="K454" s="82"/>
      <c r="L454" s="83"/>
    </row>
    <row r="455" spans="1:12" ht="12.75">
      <c r="A455" s="81"/>
      <c r="B455" s="82"/>
      <c r="C455" s="106"/>
      <c r="D455" s="115"/>
      <c r="E455" s="155"/>
      <c r="F455" s="83"/>
      <c r="G455" s="83"/>
      <c r="I455" s="206"/>
      <c r="J455" s="89"/>
      <c r="K455" s="82"/>
      <c r="L455" s="83"/>
    </row>
    <row r="456" spans="1:12" ht="12.75">
      <c r="A456" s="81"/>
      <c r="B456" s="82"/>
      <c r="C456" s="106"/>
      <c r="D456" s="115"/>
      <c r="E456" s="155"/>
      <c r="F456" s="83"/>
      <c r="G456" s="83"/>
      <c r="I456" s="206"/>
      <c r="J456" s="89"/>
      <c r="K456" s="82"/>
      <c r="L456" s="83"/>
    </row>
    <row r="457" spans="1:12" ht="12.75">
      <c r="A457" s="81"/>
      <c r="B457" s="82"/>
      <c r="C457" s="106"/>
      <c r="D457" s="115"/>
      <c r="E457" s="155"/>
      <c r="F457" s="83"/>
      <c r="G457" s="83"/>
      <c r="I457" s="206"/>
      <c r="J457" s="89"/>
      <c r="K457" s="82"/>
      <c r="L457" s="83"/>
    </row>
    <row r="458" spans="1:12" ht="12.75">
      <c r="A458" s="103"/>
      <c r="B458" s="104"/>
      <c r="C458" s="106"/>
      <c r="D458" s="95"/>
      <c r="E458" s="155"/>
      <c r="F458" s="83"/>
      <c r="G458" s="93"/>
      <c r="I458" s="206"/>
      <c r="J458" s="89"/>
      <c r="K458" s="82"/>
      <c r="L458" s="83"/>
    </row>
    <row r="459" spans="1:12" ht="12.75">
      <c r="A459" s="103"/>
      <c r="B459" s="105"/>
      <c r="C459" s="106"/>
      <c r="D459" s="95"/>
      <c r="E459" s="155"/>
      <c r="F459" s="83"/>
      <c r="G459" s="93"/>
      <c r="I459" s="206"/>
      <c r="J459" s="89"/>
      <c r="K459" s="82"/>
      <c r="L459" s="83"/>
    </row>
    <row r="460" spans="1:12" ht="12.75">
      <c r="A460" s="106"/>
      <c r="B460" s="107"/>
      <c r="C460" s="106"/>
      <c r="D460" s="95"/>
      <c r="E460" s="155"/>
      <c r="F460" s="83"/>
      <c r="G460" s="93"/>
      <c r="I460" s="206"/>
      <c r="J460" s="89"/>
      <c r="K460" s="82"/>
      <c r="L460" s="93"/>
    </row>
    <row r="461" spans="1:12" s="91" customFormat="1" ht="12.75">
      <c r="A461" s="106"/>
      <c r="B461" s="107"/>
      <c r="C461" s="106"/>
      <c r="D461" s="95"/>
      <c r="E461" s="155"/>
      <c r="F461" s="83"/>
      <c r="G461" s="93"/>
      <c r="H461" s="130"/>
      <c r="I461" s="206"/>
      <c r="J461" s="89"/>
      <c r="K461" s="92"/>
      <c r="L461" s="90"/>
    </row>
    <row r="462" spans="1:12" ht="12.75">
      <c r="A462" s="106"/>
      <c r="B462" s="107"/>
      <c r="C462" s="106"/>
      <c r="D462" s="95"/>
      <c r="E462" s="155"/>
      <c r="F462" s="83"/>
      <c r="G462" s="93"/>
      <c r="I462" s="206"/>
      <c r="J462" s="89"/>
      <c r="K462" s="82"/>
      <c r="L462" s="83"/>
    </row>
    <row r="463" spans="1:12" ht="12.75">
      <c r="A463" s="106"/>
      <c r="B463" s="107"/>
      <c r="C463" s="106"/>
      <c r="D463" s="95"/>
      <c r="E463" s="155"/>
      <c r="F463" s="83"/>
      <c r="G463" s="93"/>
      <c r="I463" s="206"/>
      <c r="J463" s="89"/>
      <c r="K463" s="82"/>
      <c r="L463" s="83"/>
    </row>
    <row r="464" spans="1:12" s="91" customFormat="1" ht="12.75">
      <c r="A464" s="106"/>
      <c r="B464" s="107"/>
      <c r="C464" s="106"/>
      <c r="D464" s="95"/>
      <c r="E464" s="155"/>
      <c r="F464" s="83"/>
      <c r="G464" s="93"/>
      <c r="H464" s="130"/>
      <c r="I464" s="209"/>
      <c r="J464" s="92"/>
      <c r="K464" s="92"/>
      <c r="L464" s="95"/>
    </row>
    <row r="465" spans="1:12" ht="12.75">
      <c r="A465" s="106"/>
      <c r="B465" s="107"/>
      <c r="C465" s="106"/>
      <c r="D465" s="95"/>
      <c r="E465" s="155"/>
      <c r="F465" s="83"/>
      <c r="G465" s="93"/>
      <c r="I465" s="210"/>
      <c r="J465" s="82"/>
      <c r="K465" s="82"/>
      <c r="L465" s="93"/>
    </row>
    <row r="466" spans="1:12" ht="12.75">
      <c r="A466" s="106"/>
      <c r="B466" s="107"/>
      <c r="C466" s="106"/>
      <c r="D466" s="95"/>
      <c r="E466" s="155"/>
      <c r="F466" s="83"/>
      <c r="G466" s="93"/>
      <c r="I466" s="210"/>
      <c r="J466" s="82"/>
      <c r="K466" s="82"/>
      <c r="L466" s="93"/>
    </row>
    <row r="467" spans="1:12" ht="12.75">
      <c r="A467" s="106"/>
      <c r="B467" s="107"/>
      <c r="C467" s="106"/>
      <c r="D467" s="95"/>
      <c r="E467" s="155"/>
      <c r="F467" s="83"/>
      <c r="G467" s="93"/>
      <c r="I467" s="208"/>
      <c r="J467" s="82"/>
      <c r="K467" s="82"/>
      <c r="L467" s="83"/>
    </row>
    <row r="468" spans="1:12" ht="7.5" customHeight="1">
      <c r="A468" s="106"/>
      <c r="B468" s="107"/>
      <c r="C468" s="106"/>
      <c r="D468" s="95"/>
      <c r="E468" s="155"/>
      <c r="F468" s="83"/>
      <c r="G468" s="93"/>
      <c r="I468" s="208"/>
      <c r="J468" s="82"/>
      <c r="K468" s="82"/>
      <c r="L468" s="83"/>
    </row>
    <row r="469" spans="1:12" ht="12.75">
      <c r="A469" s="106"/>
      <c r="B469" s="108"/>
      <c r="C469" s="106"/>
      <c r="D469" s="95"/>
      <c r="E469" s="155"/>
      <c r="F469" s="83"/>
      <c r="G469" s="93"/>
      <c r="I469" s="208"/>
      <c r="J469" s="82"/>
      <c r="K469" s="82"/>
      <c r="L469" s="83"/>
    </row>
    <row r="470" spans="1:12" ht="12.75">
      <c r="A470" s="106"/>
      <c r="B470" s="108"/>
      <c r="C470" s="106"/>
      <c r="D470" s="95"/>
      <c r="E470" s="155"/>
      <c r="F470" s="83"/>
      <c r="G470" s="93"/>
      <c r="I470" s="208"/>
      <c r="J470" s="82"/>
      <c r="K470" s="82"/>
      <c r="L470" s="83"/>
    </row>
    <row r="471" spans="1:12" ht="12.75">
      <c r="A471" s="106"/>
      <c r="B471" s="107"/>
      <c r="C471" s="106"/>
      <c r="D471" s="95"/>
      <c r="E471" s="155"/>
      <c r="F471" s="83"/>
      <c r="G471" s="93"/>
      <c r="I471" s="208"/>
      <c r="J471" s="82"/>
      <c r="K471" s="82"/>
      <c r="L471" s="83"/>
    </row>
    <row r="472" spans="1:12" ht="12.75">
      <c r="A472" s="109"/>
      <c r="B472" s="110"/>
      <c r="C472" s="109"/>
      <c r="D472" s="95"/>
      <c r="E472" s="155"/>
      <c r="F472" s="83"/>
      <c r="G472" s="93"/>
      <c r="I472" s="208"/>
      <c r="J472" s="82"/>
      <c r="K472" s="82"/>
      <c r="L472" s="83"/>
    </row>
    <row r="473" spans="1:12" ht="12.75">
      <c r="A473" s="111"/>
      <c r="B473" s="112"/>
      <c r="C473" s="109"/>
      <c r="D473" s="115"/>
      <c r="E473" s="155"/>
      <c r="F473" s="83"/>
      <c r="G473" s="113"/>
      <c r="I473" s="208"/>
      <c r="J473" s="82"/>
      <c r="K473" s="82"/>
      <c r="L473" s="83"/>
    </row>
    <row r="474" spans="1:12" ht="12.75">
      <c r="A474" s="81"/>
      <c r="B474" s="82"/>
      <c r="C474" s="106"/>
      <c r="D474" s="115"/>
      <c r="E474" s="155"/>
      <c r="F474" s="83"/>
      <c r="G474" s="83"/>
      <c r="I474" s="208"/>
      <c r="J474" s="82"/>
      <c r="K474" s="82"/>
      <c r="L474" s="83"/>
    </row>
    <row r="475" spans="1:12" ht="12.75">
      <c r="A475" s="81"/>
      <c r="B475" s="82"/>
      <c r="C475" s="106"/>
      <c r="D475" s="115"/>
      <c r="E475" s="155"/>
      <c r="F475" s="83"/>
      <c r="G475" s="83"/>
      <c r="I475" s="208"/>
      <c r="J475" s="82"/>
      <c r="K475" s="82"/>
      <c r="L475" s="83"/>
    </row>
    <row r="476" spans="9:12" ht="12.75">
      <c r="I476" s="208"/>
      <c r="J476" s="82"/>
      <c r="K476" s="82"/>
      <c r="L476" s="83"/>
    </row>
    <row r="477" spans="9:12" ht="12.75">
      <c r="I477" s="208"/>
      <c r="J477" s="82"/>
      <c r="K477" s="82"/>
      <c r="L477" s="83"/>
    </row>
    <row r="478" spans="9:12" ht="12.75">
      <c r="I478" s="208"/>
      <c r="J478" s="82"/>
      <c r="K478" s="82"/>
      <c r="L478" s="83"/>
    </row>
    <row r="479" spans="8:12" ht="12.75">
      <c r="H479" s="132"/>
      <c r="I479" s="208"/>
      <c r="J479" s="82"/>
      <c r="K479" s="82"/>
      <c r="L479" s="83"/>
    </row>
    <row r="480" spans="8:12" ht="12.75">
      <c r="H480" s="132"/>
      <c r="I480" s="208"/>
      <c r="J480" s="82"/>
      <c r="K480" s="82"/>
      <c r="L480" s="83"/>
    </row>
    <row r="481" spans="8:12" ht="12.75">
      <c r="H481" s="132"/>
      <c r="I481" s="208"/>
      <c r="J481" s="82"/>
      <c r="K481" s="82"/>
      <c r="L481" s="83"/>
    </row>
    <row r="482" spans="8:12" ht="12.75">
      <c r="H482" s="132"/>
      <c r="I482" s="208"/>
      <c r="J482" s="82"/>
      <c r="K482" s="82"/>
      <c r="L482" s="83"/>
    </row>
    <row r="483" spans="8:12" ht="12.75">
      <c r="H483" s="132"/>
      <c r="I483" s="208"/>
      <c r="J483" s="82"/>
      <c r="K483" s="82"/>
      <c r="L483" s="83"/>
    </row>
    <row r="484" spans="8:12" ht="12.75">
      <c r="H484" s="132"/>
      <c r="I484" s="208"/>
      <c r="J484" s="82"/>
      <c r="K484" s="82"/>
      <c r="L484" s="83"/>
    </row>
    <row r="485" spans="1:12" ht="12.75">
      <c r="A485" s="78"/>
      <c r="C485" s="153"/>
      <c r="D485" s="78"/>
      <c r="E485" s="78"/>
      <c r="F485" s="78"/>
      <c r="G485" s="78"/>
      <c r="H485" s="132"/>
      <c r="I485" s="208"/>
      <c r="J485" s="82"/>
      <c r="K485" s="82"/>
      <c r="L485" s="83"/>
    </row>
    <row r="486" spans="1:12" ht="12.75">
      <c r="A486" s="78"/>
      <c r="C486" s="153"/>
      <c r="D486" s="78"/>
      <c r="E486" s="78"/>
      <c r="F486" s="78"/>
      <c r="G486" s="78"/>
      <c r="H486" s="132"/>
      <c r="I486" s="208"/>
      <c r="J486" s="82"/>
      <c r="K486" s="82"/>
      <c r="L486" s="83"/>
    </row>
    <row r="487" spans="1:12" ht="12.75">
      <c r="A487" s="78"/>
      <c r="C487" s="153"/>
      <c r="D487" s="78"/>
      <c r="E487" s="78"/>
      <c r="F487" s="78"/>
      <c r="G487" s="78"/>
      <c r="H487" s="132"/>
      <c r="I487" s="208"/>
      <c r="J487" s="82"/>
      <c r="K487" s="82"/>
      <c r="L487" s="83"/>
    </row>
    <row r="488" spans="1:12" ht="12.75">
      <c r="A488" s="78"/>
      <c r="C488" s="153"/>
      <c r="D488" s="78"/>
      <c r="E488" s="78"/>
      <c r="F488" s="78"/>
      <c r="G488" s="78"/>
      <c r="H488" s="132"/>
      <c r="I488" s="208"/>
      <c r="J488" s="82"/>
      <c r="K488" s="82"/>
      <c r="L488" s="83"/>
    </row>
    <row r="489" spans="1:12" ht="12.75">
      <c r="A489" s="78"/>
      <c r="C489" s="153"/>
      <c r="D489" s="78"/>
      <c r="E489" s="78"/>
      <c r="F489" s="78"/>
      <c r="G489" s="78"/>
      <c r="H489" s="132"/>
      <c r="I489" s="208"/>
      <c r="J489" s="82"/>
      <c r="K489" s="82"/>
      <c r="L489" s="83"/>
    </row>
    <row r="490" spans="1:12" ht="12.75">
      <c r="A490" s="78"/>
      <c r="C490" s="153"/>
      <c r="D490" s="78"/>
      <c r="E490" s="78"/>
      <c r="F490" s="78"/>
      <c r="G490" s="78"/>
      <c r="H490" s="132"/>
      <c r="I490" s="208"/>
      <c r="J490" s="82"/>
      <c r="K490" s="82"/>
      <c r="L490" s="83"/>
    </row>
    <row r="491" spans="1:12" ht="12.75">
      <c r="A491" s="78"/>
      <c r="C491" s="153"/>
      <c r="D491" s="78"/>
      <c r="E491" s="78"/>
      <c r="F491" s="78"/>
      <c r="G491" s="78"/>
      <c r="H491" s="132"/>
      <c r="I491" s="208"/>
      <c r="J491" s="82"/>
      <c r="K491" s="82"/>
      <c r="L491" s="83"/>
    </row>
    <row r="492" spans="1:12" ht="12.75">
      <c r="A492" s="78"/>
      <c r="C492" s="153"/>
      <c r="D492" s="78"/>
      <c r="E492" s="78"/>
      <c r="F492" s="78"/>
      <c r="G492" s="78"/>
      <c r="H492" s="132"/>
      <c r="I492" s="208"/>
      <c r="J492" s="82"/>
      <c r="K492" s="82"/>
      <c r="L492" s="83"/>
    </row>
    <row r="493" spans="1:12" ht="12.75">
      <c r="A493" s="78"/>
      <c r="C493" s="153"/>
      <c r="D493" s="78"/>
      <c r="E493" s="78"/>
      <c r="F493" s="78"/>
      <c r="G493" s="78"/>
      <c r="H493" s="132"/>
      <c r="I493" s="208"/>
      <c r="J493" s="82"/>
      <c r="K493" s="82"/>
      <c r="L493" s="83"/>
    </row>
    <row r="494" spans="1:12" ht="12.75">
      <c r="A494" s="78"/>
      <c r="C494" s="153"/>
      <c r="D494" s="78"/>
      <c r="E494" s="78"/>
      <c r="F494" s="78"/>
      <c r="G494" s="78"/>
      <c r="H494" s="132"/>
      <c r="I494" s="208"/>
      <c r="J494" s="82"/>
      <c r="K494" s="82"/>
      <c r="L494" s="83"/>
    </row>
    <row r="495" spans="1:12" ht="12.75">
      <c r="A495" s="78"/>
      <c r="C495" s="153"/>
      <c r="D495" s="78"/>
      <c r="E495" s="78"/>
      <c r="F495" s="78"/>
      <c r="G495" s="78"/>
      <c r="H495" s="132"/>
      <c r="I495" s="208"/>
      <c r="J495" s="82"/>
      <c r="K495" s="82"/>
      <c r="L495" s="83"/>
    </row>
    <row r="496" spans="1:12" ht="12.75">
      <c r="A496" s="78"/>
      <c r="C496" s="153"/>
      <c r="D496" s="78"/>
      <c r="E496" s="78"/>
      <c r="F496" s="78"/>
      <c r="G496" s="78"/>
      <c r="H496" s="132"/>
      <c r="I496" s="208"/>
      <c r="J496" s="82"/>
      <c r="K496" s="82"/>
      <c r="L496" s="83"/>
    </row>
    <row r="497" spans="1:12" ht="12.75">
      <c r="A497" s="78"/>
      <c r="C497" s="153"/>
      <c r="D497" s="78"/>
      <c r="E497" s="78"/>
      <c r="F497" s="78"/>
      <c r="G497" s="78"/>
      <c r="H497" s="132"/>
      <c r="I497" s="208"/>
      <c r="J497" s="82"/>
      <c r="K497" s="82"/>
      <c r="L497" s="83"/>
    </row>
    <row r="498" spans="1:12" ht="12.75">
      <c r="A498" s="78"/>
      <c r="C498" s="153"/>
      <c r="D498" s="78"/>
      <c r="E498" s="78"/>
      <c r="F498" s="78"/>
      <c r="G498" s="78"/>
      <c r="H498" s="132"/>
      <c r="I498" s="208"/>
      <c r="J498" s="82"/>
      <c r="K498" s="82"/>
      <c r="L498" s="83"/>
    </row>
    <row r="499" spans="1:12" ht="12.75">
      <c r="A499" s="78"/>
      <c r="C499" s="153"/>
      <c r="D499" s="78"/>
      <c r="E499" s="78"/>
      <c r="F499" s="78"/>
      <c r="G499" s="78"/>
      <c r="H499" s="132"/>
      <c r="I499" s="208"/>
      <c r="J499" s="82"/>
      <c r="K499" s="82"/>
      <c r="L499" s="83"/>
    </row>
    <row r="500" spans="1:12" ht="12.75">
      <c r="A500" s="78"/>
      <c r="C500" s="153"/>
      <c r="D500" s="78"/>
      <c r="E500" s="78"/>
      <c r="F500" s="78"/>
      <c r="G500" s="78"/>
      <c r="H500" s="132"/>
      <c r="I500" s="208"/>
      <c r="J500" s="82"/>
      <c r="K500" s="82"/>
      <c r="L500" s="83"/>
    </row>
    <row r="501" spans="1:12" ht="12.75">
      <c r="A501" s="78"/>
      <c r="C501" s="153"/>
      <c r="D501" s="78"/>
      <c r="E501" s="78"/>
      <c r="F501" s="78"/>
      <c r="G501" s="78"/>
      <c r="H501" s="132"/>
      <c r="I501" s="208"/>
      <c r="J501" s="82"/>
      <c r="K501" s="82"/>
      <c r="L501" s="83"/>
    </row>
    <row r="502" spans="1:12" ht="12.75">
      <c r="A502" s="78"/>
      <c r="C502" s="153"/>
      <c r="D502" s="78"/>
      <c r="E502" s="78"/>
      <c r="F502" s="78"/>
      <c r="G502" s="78"/>
      <c r="H502" s="132"/>
      <c r="I502" s="208"/>
      <c r="J502" s="82"/>
      <c r="K502" s="82"/>
      <c r="L502" s="83"/>
    </row>
    <row r="503" spans="1:12" ht="12.75">
      <c r="A503" s="78"/>
      <c r="C503" s="153"/>
      <c r="D503" s="78"/>
      <c r="E503" s="78"/>
      <c r="F503" s="78"/>
      <c r="G503" s="78"/>
      <c r="H503" s="132"/>
      <c r="I503" s="208"/>
      <c r="J503" s="82"/>
      <c r="K503" s="82"/>
      <c r="L503" s="83"/>
    </row>
    <row r="504" spans="1:12" ht="12.75">
      <c r="A504" s="78"/>
      <c r="C504" s="153"/>
      <c r="D504" s="78"/>
      <c r="E504" s="78"/>
      <c r="F504" s="78"/>
      <c r="G504" s="78"/>
      <c r="H504" s="132"/>
      <c r="I504" s="208"/>
      <c r="J504" s="82"/>
      <c r="K504" s="82"/>
      <c r="L504" s="83"/>
    </row>
    <row r="505" spans="1:12" ht="12.75">
      <c r="A505" s="78"/>
      <c r="C505" s="153"/>
      <c r="D505" s="78"/>
      <c r="E505" s="78"/>
      <c r="F505" s="78"/>
      <c r="G505" s="78"/>
      <c r="H505" s="132"/>
      <c r="I505" s="208"/>
      <c r="J505" s="82"/>
      <c r="K505" s="82"/>
      <c r="L505" s="83"/>
    </row>
    <row r="506" spans="1:12" ht="12.75">
      <c r="A506" s="78"/>
      <c r="C506" s="153"/>
      <c r="D506" s="78"/>
      <c r="E506" s="78"/>
      <c r="F506" s="78"/>
      <c r="G506" s="78"/>
      <c r="H506" s="132"/>
      <c r="I506" s="208"/>
      <c r="J506" s="82"/>
      <c r="K506" s="82"/>
      <c r="L506" s="83"/>
    </row>
    <row r="507" spans="1:12" ht="12.75">
      <c r="A507" s="78"/>
      <c r="C507" s="153"/>
      <c r="D507" s="78"/>
      <c r="E507" s="78"/>
      <c r="F507" s="78"/>
      <c r="G507" s="78"/>
      <c r="H507" s="132"/>
      <c r="I507" s="208"/>
      <c r="J507" s="82"/>
      <c r="K507" s="82"/>
      <c r="L507" s="83"/>
    </row>
    <row r="508" spans="1:12" ht="12.75">
      <c r="A508" s="78"/>
      <c r="C508" s="153"/>
      <c r="D508" s="78"/>
      <c r="E508" s="78"/>
      <c r="F508" s="78"/>
      <c r="G508" s="78"/>
      <c r="H508" s="132"/>
      <c r="I508" s="208"/>
      <c r="J508" s="82"/>
      <c r="K508" s="82"/>
      <c r="L508" s="83"/>
    </row>
    <row r="509" spans="1:12" ht="12.75">
      <c r="A509" s="78"/>
      <c r="C509" s="153"/>
      <c r="D509" s="78"/>
      <c r="E509" s="78"/>
      <c r="F509" s="78"/>
      <c r="G509" s="78"/>
      <c r="H509" s="132"/>
      <c r="I509" s="208"/>
      <c r="J509" s="82"/>
      <c r="K509" s="82"/>
      <c r="L509" s="83"/>
    </row>
    <row r="510" spans="1:12" ht="12.75">
      <c r="A510" s="78"/>
      <c r="C510" s="153"/>
      <c r="D510" s="78"/>
      <c r="E510" s="78"/>
      <c r="F510" s="78"/>
      <c r="G510" s="78"/>
      <c r="H510" s="132"/>
      <c r="I510" s="208"/>
      <c r="J510" s="82"/>
      <c r="K510" s="82"/>
      <c r="L510" s="83"/>
    </row>
    <row r="511" spans="1:12" ht="12.75">
      <c r="A511" s="78"/>
      <c r="C511" s="153"/>
      <c r="D511" s="78"/>
      <c r="E511" s="78"/>
      <c r="F511" s="78"/>
      <c r="G511" s="78"/>
      <c r="H511" s="132"/>
      <c r="I511" s="208"/>
      <c r="J511" s="82"/>
      <c r="K511" s="82"/>
      <c r="L511" s="83"/>
    </row>
    <row r="512" spans="1:12" ht="12.75">
      <c r="A512" s="78"/>
      <c r="C512" s="153"/>
      <c r="D512" s="78"/>
      <c r="E512" s="78"/>
      <c r="F512" s="78"/>
      <c r="G512" s="78"/>
      <c r="H512" s="132"/>
      <c r="I512" s="208"/>
      <c r="J512" s="82"/>
      <c r="K512" s="82"/>
      <c r="L512" s="83"/>
    </row>
    <row r="513" spans="1:12" ht="12.75">
      <c r="A513" s="78"/>
      <c r="C513" s="153"/>
      <c r="D513" s="78"/>
      <c r="E513" s="78"/>
      <c r="F513" s="78"/>
      <c r="G513" s="78"/>
      <c r="H513" s="132"/>
      <c r="I513" s="208"/>
      <c r="J513" s="82"/>
      <c r="K513" s="82"/>
      <c r="L513" s="83"/>
    </row>
    <row r="514" spans="1:12" ht="12.75">
      <c r="A514" s="78"/>
      <c r="C514" s="153"/>
      <c r="D514" s="78"/>
      <c r="E514" s="78"/>
      <c r="F514" s="78"/>
      <c r="G514" s="78"/>
      <c r="H514" s="132"/>
      <c r="I514" s="208"/>
      <c r="J514" s="82"/>
      <c r="K514" s="82"/>
      <c r="L514" s="83"/>
    </row>
    <row r="515" spans="1:12" ht="12.75">
      <c r="A515" s="78"/>
      <c r="C515" s="153"/>
      <c r="D515" s="78"/>
      <c r="E515" s="78"/>
      <c r="F515" s="78"/>
      <c r="G515" s="78"/>
      <c r="H515" s="132"/>
      <c r="I515" s="208"/>
      <c r="J515" s="82"/>
      <c r="K515" s="82"/>
      <c r="L515" s="83"/>
    </row>
    <row r="516" spans="1:12" ht="12.75">
      <c r="A516" s="78"/>
      <c r="C516" s="153"/>
      <c r="D516" s="78"/>
      <c r="E516" s="78"/>
      <c r="F516" s="78"/>
      <c r="G516" s="78"/>
      <c r="H516" s="132"/>
      <c r="I516" s="208"/>
      <c r="J516" s="82"/>
      <c r="K516" s="82"/>
      <c r="L516" s="83"/>
    </row>
    <row r="517" spans="1:12" ht="12.75">
      <c r="A517" s="78"/>
      <c r="C517" s="153"/>
      <c r="D517" s="78"/>
      <c r="E517" s="78"/>
      <c r="F517" s="78"/>
      <c r="G517" s="78"/>
      <c r="H517" s="132"/>
      <c r="I517" s="208"/>
      <c r="J517" s="82"/>
      <c r="K517" s="82"/>
      <c r="L517" s="83"/>
    </row>
    <row r="518" spans="1:12" ht="12.75">
      <c r="A518" s="78"/>
      <c r="C518" s="153"/>
      <c r="D518" s="78"/>
      <c r="E518" s="78"/>
      <c r="F518" s="78"/>
      <c r="G518" s="78"/>
      <c r="H518" s="132"/>
      <c r="I518" s="208"/>
      <c r="J518" s="82"/>
      <c r="K518" s="82"/>
      <c r="L518" s="83"/>
    </row>
    <row r="519" spans="1:12" ht="12.75">
      <c r="A519" s="78"/>
      <c r="C519" s="153"/>
      <c r="D519" s="78"/>
      <c r="E519" s="78"/>
      <c r="F519" s="78"/>
      <c r="G519" s="78"/>
      <c r="H519" s="132"/>
      <c r="I519" s="208"/>
      <c r="J519" s="82"/>
      <c r="K519" s="82"/>
      <c r="L519" s="83"/>
    </row>
    <row r="520" spans="1:12" ht="12.75">
      <c r="A520" s="78"/>
      <c r="C520" s="153"/>
      <c r="D520" s="78"/>
      <c r="E520" s="78"/>
      <c r="F520" s="78"/>
      <c r="G520" s="78"/>
      <c r="H520" s="132"/>
      <c r="I520" s="208"/>
      <c r="J520" s="82"/>
      <c r="K520" s="82"/>
      <c r="L520" s="83"/>
    </row>
    <row r="521" spans="1:12" ht="12.75">
      <c r="A521" s="78"/>
      <c r="C521" s="153"/>
      <c r="D521" s="78"/>
      <c r="E521" s="78"/>
      <c r="F521" s="78"/>
      <c r="G521" s="78"/>
      <c r="H521" s="132"/>
      <c r="I521" s="208"/>
      <c r="J521" s="82"/>
      <c r="K521" s="82"/>
      <c r="L521" s="83"/>
    </row>
    <row r="522" spans="1:12" ht="12.75">
      <c r="A522" s="78"/>
      <c r="C522" s="153"/>
      <c r="D522" s="78"/>
      <c r="E522" s="78"/>
      <c r="F522" s="78"/>
      <c r="G522" s="78"/>
      <c r="H522" s="132"/>
      <c r="I522" s="208"/>
      <c r="J522" s="82"/>
      <c r="K522" s="82"/>
      <c r="L522" s="83"/>
    </row>
    <row r="523" spans="1:12" ht="12.75">
      <c r="A523" s="78"/>
      <c r="C523" s="153"/>
      <c r="D523" s="78"/>
      <c r="E523" s="78"/>
      <c r="F523" s="78"/>
      <c r="G523" s="78"/>
      <c r="H523" s="132"/>
      <c r="I523" s="208"/>
      <c r="J523" s="82"/>
      <c r="K523" s="82"/>
      <c r="L523" s="83"/>
    </row>
    <row r="524" spans="1:12" ht="12.75">
      <c r="A524" s="78"/>
      <c r="C524" s="153"/>
      <c r="D524" s="78"/>
      <c r="E524" s="78"/>
      <c r="F524" s="78"/>
      <c r="G524" s="78"/>
      <c r="H524" s="132"/>
      <c r="I524" s="208"/>
      <c r="J524" s="82"/>
      <c r="K524" s="82"/>
      <c r="L524" s="83"/>
    </row>
    <row r="525" spans="1:12" ht="12.75">
      <c r="A525" s="78"/>
      <c r="C525" s="153"/>
      <c r="D525" s="78"/>
      <c r="E525" s="78"/>
      <c r="F525" s="78"/>
      <c r="G525" s="78"/>
      <c r="H525" s="132"/>
      <c r="I525" s="208"/>
      <c r="J525" s="82"/>
      <c r="K525" s="82"/>
      <c r="L525" s="83"/>
    </row>
    <row r="526" spans="1:12" ht="12.75">
      <c r="A526" s="78"/>
      <c r="C526" s="153"/>
      <c r="D526" s="78"/>
      <c r="E526" s="78"/>
      <c r="F526" s="78"/>
      <c r="G526" s="78"/>
      <c r="H526" s="132"/>
      <c r="I526" s="208"/>
      <c r="J526" s="82"/>
      <c r="K526" s="82"/>
      <c r="L526" s="83"/>
    </row>
    <row r="527" spans="1:12" ht="12.75">
      <c r="A527" s="78"/>
      <c r="C527" s="153"/>
      <c r="D527" s="78"/>
      <c r="E527" s="78"/>
      <c r="F527" s="78"/>
      <c r="G527" s="78"/>
      <c r="H527" s="132"/>
      <c r="I527" s="208"/>
      <c r="J527" s="82"/>
      <c r="K527" s="82"/>
      <c r="L527" s="83"/>
    </row>
    <row r="528" spans="1:12" ht="12.75">
      <c r="A528" s="78"/>
      <c r="C528" s="153"/>
      <c r="D528" s="78"/>
      <c r="E528" s="78"/>
      <c r="F528" s="78"/>
      <c r="G528" s="78"/>
      <c r="H528" s="132"/>
      <c r="I528" s="208"/>
      <c r="J528" s="82"/>
      <c r="K528" s="82"/>
      <c r="L528" s="83"/>
    </row>
    <row r="529" spans="1:12" ht="12.75">
      <c r="A529" s="78"/>
      <c r="C529" s="153"/>
      <c r="D529" s="78"/>
      <c r="E529" s="78"/>
      <c r="F529" s="78"/>
      <c r="G529" s="78"/>
      <c r="H529" s="132"/>
      <c r="I529" s="208"/>
      <c r="J529" s="82"/>
      <c r="K529" s="82"/>
      <c r="L529" s="83"/>
    </row>
    <row r="530" spans="1:12" ht="12.75">
      <c r="A530" s="78"/>
      <c r="C530" s="153"/>
      <c r="D530" s="78"/>
      <c r="E530" s="78"/>
      <c r="F530" s="78"/>
      <c r="G530" s="78"/>
      <c r="H530" s="132"/>
      <c r="I530" s="208"/>
      <c r="J530" s="82"/>
      <c r="K530" s="82"/>
      <c r="L530" s="83"/>
    </row>
    <row r="531" spans="1:12" ht="12.75">
      <c r="A531" s="78"/>
      <c r="C531" s="153"/>
      <c r="D531" s="78"/>
      <c r="E531" s="78"/>
      <c r="F531" s="78"/>
      <c r="G531" s="78"/>
      <c r="H531" s="132"/>
      <c r="I531" s="208"/>
      <c r="J531" s="82"/>
      <c r="K531" s="82"/>
      <c r="L531" s="83"/>
    </row>
    <row r="532" spans="1:12" ht="12.75">
      <c r="A532" s="78"/>
      <c r="C532" s="153"/>
      <c r="D532" s="78"/>
      <c r="E532" s="78"/>
      <c r="F532" s="78"/>
      <c r="G532" s="78"/>
      <c r="H532" s="132"/>
      <c r="I532" s="208"/>
      <c r="J532" s="82"/>
      <c r="K532" s="82"/>
      <c r="L532" s="83"/>
    </row>
    <row r="533" spans="1:12" ht="12.75">
      <c r="A533" s="78"/>
      <c r="C533" s="153"/>
      <c r="D533" s="78"/>
      <c r="E533" s="78"/>
      <c r="F533" s="78"/>
      <c r="G533" s="78"/>
      <c r="H533" s="132"/>
      <c r="I533" s="208"/>
      <c r="J533" s="82"/>
      <c r="K533" s="82"/>
      <c r="L533" s="83"/>
    </row>
    <row r="534" spans="1:12" ht="12.75">
      <c r="A534" s="78"/>
      <c r="C534" s="153"/>
      <c r="D534" s="78"/>
      <c r="E534" s="78"/>
      <c r="F534" s="78"/>
      <c r="G534" s="78"/>
      <c r="H534" s="132"/>
      <c r="I534" s="208"/>
      <c r="J534" s="82"/>
      <c r="K534" s="82"/>
      <c r="L534" s="83"/>
    </row>
    <row r="535" spans="1:12" ht="12.75">
      <c r="A535" s="78"/>
      <c r="C535" s="153"/>
      <c r="D535" s="78"/>
      <c r="E535" s="78"/>
      <c r="F535" s="78"/>
      <c r="G535" s="78"/>
      <c r="H535" s="132"/>
      <c r="I535" s="208"/>
      <c r="J535" s="82"/>
      <c r="K535" s="82"/>
      <c r="L535" s="83"/>
    </row>
    <row r="536" spans="1:12" ht="12.75">
      <c r="A536" s="78"/>
      <c r="C536" s="153"/>
      <c r="D536" s="78"/>
      <c r="E536" s="78"/>
      <c r="F536" s="78"/>
      <c r="G536" s="78"/>
      <c r="H536" s="132"/>
      <c r="I536" s="208"/>
      <c r="J536" s="82"/>
      <c r="K536" s="82"/>
      <c r="L536" s="83"/>
    </row>
    <row r="537" spans="1:12" ht="12.75">
      <c r="A537" s="78"/>
      <c r="C537" s="153"/>
      <c r="D537" s="78"/>
      <c r="E537" s="78"/>
      <c r="F537" s="78"/>
      <c r="G537" s="78"/>
      <c r="H537" s="132"/>
      <c r="I537" s="208"/>
      <c r="J537" s="82"/>
      <c r="K537" s="82"/>
      <c r="L537" s="83"/>
    </row>
    <row r="538" spans="1:12" ht="12.75">
      <c r="A538" s="78"/>
      <c r="C538" s="153"/>
      <c r="D538" s="78"/>
      <c r="E538" s="78"/>
      <c r="F538" s="78"/>
      <c r="G538" s="78"/>
      <c r="H538" s="132"/>
      <c r="I538" s="208"/>
      <c r="J538" s="82"/>
      <c r="K538" s="82"/>
      <c r="L538" s="83"/>
    </row>
    <row r="539" spans="1:12" ht="12.75">
      <c r="A539" s="78"/>
      <c r="C539" s="153"/>
      <c r="D539" s="78"/>
      <c r="E539" s="78"/>
      <c r="F539" s="78"/>
      <c r="G539" s="78"/>
      <c r="H539" s="132"/>
      <c r="I539" s="208"/>
      <c r="J539" s="82"/>
      <c r="K539" s="82"/>
      <c r="L539" s="83"/>
    </row>
    <row r="540" spans="1:12" ht="12.75">
      <c r="A540" s="78"/>
      <c r="C540" s="153"/>
      <c r="D540" s="78"/>
      <c r="E540" s="78"/>
      <c r="F540" s="78"/>
      <c r="G540" s="78"/>
      <c r="H540" s="132"/>
      <c r="I540" s="208"/>
      <c r="J540" s="82"/>
      <c r="K540" s="82"/>
      <c r="L540" s="83"/>
    </row>
    <row r="541" spans="1:12" ht="12.75">
      <c r="A541" s="78"/>
      <c r="C541" s="153"/>
      <c r="D541" s="78"/>
      <c r="E541" s="78"/>
      <c r="F541" s="78"/>
      <c r="G541" s="78"/>
      <c r="H541" s="132"/>
      <c r="I541" s="208"/>
      <c r="J541" s="82"/>
      <c r="K541" s="82"/>
      <c r="L541" s="83"/>
    </row>
    <row r="542" spans="1:12" ht="12.75">
      <c r="A542" s="78"/>
      <c r="C542" s="153"/>
      <c r="D542" s="78"/>
      <c r="E542" s="78"/>
      <c r="F542" s="78"/>
      <c r="G542" s="78"/>
      <c r="H542" s="132"/>
      <c r="I542" s="208"/>
      <c r="J542" s="82"/>
      <c r="K542" s="82"/>
      <c r="L542" s="83"/>
    </row>
    <row r="543" spans="1:12" ht="12.75">
      <c r="A543" s="78"/>
      <c r="C543" s="153"/>
      <c r="D543" s="78"/>
      <c r="E543" s="78"/>
      <c r="F543" s="78"/>
      <c r="G543" s="78"/>
      <c r="H543" s="132"/>
      <c r="I543" s="208"/>
      <c r="J543" s="82"/>
      <c r="K543" s="82"/>
      <c r="L543" s="83"/>
    </row>
    <row r="544" spans="1:12" ht="12.75">
      <c r="A544" s="78"/>
      <c r="C544" s="153"/>
      <c r="D544" s="78"/>
      <c r="E544" s="78"/>
      <c r="F544" s="78"/>
      <c r="G544" s="78"/>
      <c r="H544" s="132"/>
      <c r="I544" s="208"/>
      <c r="J544" s="82"/>
      <c r="K544" s="82"/>
      <c r="L544" s="83"/>
    </row>
    <row r="545" spans="1:12" ht="12.75">
      <c r="A545" s="78"/>
      <c r="C545" s="153"/>
      <c r="D545" s="78"/>
      <c r="E545" s="78"/>
      <c r="F545" s="78"/>
      <c r="G545" s="78"/>
      <c r="H545" s="132"/>
      <c r="I545" s="208"/>
      <c r="J545" s="82"/>
      <c r="K545" s="82"/>
      <c r="L545" s="83"/>
    </row>
    <row r="546" spans="1:12" ht="12.75">
      <c r="A546" s="78"/>
      <c r="C546" s="153"/>
      <c r="D546" s="78"/>
      <c r="E546" s="78"/>
      <c r="F546" s="78"/>
      <c r="G546" s="78"/>
      <c r="H546" s="132"/>
      <c r="I546" s="208"/>
      <c r="J546" s="82"/>
      <c r="K546" s="82"/>
      <c r="L546" s="83"/>
    </row>
    <row r="547" spans="1:12" ht="12.75">
      <c r="A547" s="78"/>
      <c r="C547" s="153"/>
      <c r="D547" s="78"/>
      <c r="E547" s="78"/>
      <c r="F547" s="78"/>
      <c r="G547" s="78"/>
      <c r="H547" s="132"/>
      <c r="I547" s="208"/>
      <c r="J547" s="82"/>
      <c r="K547" s="82"/>
      <c r="L547" s="83"/>
    </row>
    <row r="548" spans="1:12" ht="12.75">
      <c r="A548" s="78"/>
      <c r="C548" s="153"/>
      <c r="D548" s="78"/>
      <c r="E548" s="78"/>
      <c r="F548" s="78"/>
      <c r="G548" s="78"/>
      <c r="H548" s="132"/>
      <c r="I548" s="208"/>
      <c r="J548" s="82"/>
      <c r="K548" s="82"/>
      <c r="L548" s="83"/>
    </row>
    <row r="549" spans="1:12" ht="12.75">
      <c r="A549" s="78"/>
      <c r="C549" s="153"/>
      <c r="D549" s="78"/>
      <c r="E549" s="78"/>
      <c r="F549" s="78"/>
      <c r="G549" s="78"/>
      <c r="H549" s="132"/>
      <c r="I549" s="208"/>
      <c r="J549" s="82"/>
      <c r="K549" s="82"/>
      <c r="L549" s="83"/>
    </row>
    <row r="550" spans="1:12" ht="12.75">
      <c r="A550" s="78"/>
      <c r="C550" s="153"/>
      <c r="D550" s="78"/>
      <c r="E550" s="78"/>
      <c r="F550" s="78"/>
      <c r="G550" s="78"/>
      <c r="H550" s="132"/>
      <c r="I550" s="208"/>
      <c r="J550" s="82"/>
      <c r="K550" s="82"/>
      <c r="L550" s="83"/>
    </row>
    <row r="551" spans="1:12" ht="12.75">
      <c r="A551" s="78"/>
      <c r="C551" s="153"/>
      <c r="D551" s="78"/>
      <c r="E551" s="78"/>
      <c r="F551" s="78"/>
      <c r="G551" s="78"/>
      <c r="H551" s="132"/>
      <c r="I551" s="208"/>
      <c r="J551" s="82"/>
      <c r="K551" s="82"/>
      <c r="L551" s="83"/>
    </row>
    <row r="552" spans="1:12" ht="12.75">
      <c r="A552" s="78"/>
      <c r="C552" s="153"/>
      <c r="D552" s="78"/>
      <c r="E552" s="78"/>
      <c r="F552" s="78"/>
      <c r="G552" s="78"/>
      <c r="H552" s="132"/>
      <c r="I552" s="208"/>
      <c r="J552" s="82"/>
      <c r="K552" s="82"/>
      <c r="L552" s="83"/>
    </row>
    <row r="553" spans="1:12" ht="12.75">
      <c r="A553" s="78"/>
      <c r="C553" s="153"/>
      <c r="D553" s="78"/>
      <c r="E553" s="78"/>
      <c r="F553" s="78"/>
      <c r="G553" s="78"/>
      <c r="H553" s="132"/>
      <c r="I553" s="208"/>
      <c r="J553" s="82"/>
      <c r="K553" s="82"/>
      <c r="L553" s="83"/>
    </row>
    <row r="554" spans="1:12" ht="12.75">
      <c r="A554" s="78"/>
      <c r="C554" s="153"/>
      <c r="D554" s="78"/>
      <c r="E554" s="78"/>
      <c r="F554" s="78"/>
      <c r="G554" s="78"/>
      <c r="H554" s="132"/>
      <c r="I554" s="208"/>
      <c r="J554" s="82"/>
      <c r="K554" s="82"/>
      <c r="L554" s="83"/>
    </row>
    <row r="555" spans="1:12" ht="12.75">
      <c r="A555" s="78"/>
      <c r="C555" s="153"/>
      <c r="D555" s="78"/>
      <c r="E555" s="78"/>
      <c r="F555" s="78"/>
      <c r="G555" s="78"/>
      <c r="H555" s="132"/>
      <c r="I555" s="208"/>
      <c r="J555" s="82"/>
      <c r="K555" s="82"/>
      <c r="L555" s="83"/>
    </row>
    <row r="556" spans="1:12" ht="12.75">
      <c r="A556" s="78"/>
      <c r="C556" s="153"/>
      <c r="D556" s="78"/>
      <c r="E556" s="78"/>
      <c r="F556" s="78"/>
      <c r="G556" s="78"/>
      <c r="H556" s="132"/>
      <c r="I556" s="208"/>
      <c r="J556" s="82"/>
      <c r="K556" s="82"/>
      <c r="L556" s="83"/>
    </row>
    <row r="557" spans="1:12" ht="12.75">
      <c r="A557" s="78"/>
      <c r="C557" s="153"/>
      <c r="D557" s="78"/>
      <c r="E557" s="78"/>
      <c r="F557" s="78"/>
      <c r="G557" s="78"/>
      <c r="H557" s="132"/>
      <c r="I557" s="208"/>
      <c r="J557" s="82"/>
      <c r="K557" s="82"/>
      <c r="L557" s="83"/>
    </row>
    <row r="558" spans="1:12" ht="12.75">
      <c r="A558" s="78"/>
      <c r="C558" s="153"/>
      <c r="D558" s="78"/>
      <c r="E558" s="78"/>
      <c r="F558" s="78"/>
      <c r="G558" s="78"/>
      <c r="H558" s="132"/>
      <c r="I558" s="208"/>
      <c r="J558" s="82"/>
      <c r="K558" s="82"/>
      <c r="L558" s="83"/>
    </row>
    <row r="559" spans="1:12" ht="12.75">
      <c r="A559" s="78"/>
      <c r="C559" s="153"/>
      <c r="D559" s="78"/>
      <c r="E559" s="78"/>
      <c r="F559" s="78"/>
      <c r="G559" s="78"/>
      <c r="H559" s="132"/>
      <c r="I559" s="208"/>
      <c r="J559" s="82"/>
      <c r="K559" s="82"/>
      <c r="L559" s="83"/>
    </row>
    <row r="560" spans="1:12" ht="12.75">
      <c r="A560" s="78"/>
      <c r="C560" s="153"/>
      <c r="D560" s="78"/>
      <c r="E560" s="78"/>
      <c r="F560" s="78"/>
      <c r="G560" s="78"/>
      <c r="H560" s="132"/>
      <c r="I560" s="208"/>
      <c r="J560" s="82"/>
      <c r="K560" s="82"/>
      <c r="L560" s="83"/>
    </row>
    <row r="561" spans="1:12" ht="12.75">
      <c r="A561" s="78"/>
      <c r="C561" s="153"/>
      <c r="D561" s="78"/>
      <c r="E561" s="78"/>
      <c r="F561" s="78"/>
      <c r="G561" s="78"/>
      <c r="H561" s="132"/>
      <c r="I561" s="208"/>
      <c r="J561" s="82"/>
      <c r="K561" s="82"/>
      <c r="L561" s="83"/>
    </row>
    <row r="562" spans="1:12" ht="12.75">
      <c r="A562" s="78"/>
      <c r="C562" s="153"/>
      <c r="D562" s="78"/>
      <c r="E562" s="78"/>
      <c r="F562" s="78"/>
      <c r="G562" s="78"/>
      <c r="H562" s="132"/>
      <c r="I562" s="208"/>
      <c r="J562" s="82"/>
      <c r="K562" s="82"/>
      <c r="L562" s="83"/>
    </row>
    <row r="563" spans="1:12" ht="12.75">
      <c r="A563" s="78"/>
      <c r="C563" s="153"/>
      <c r="D563" s="78"/>
      <c r="E563" s="78"/>
      <c r="F563" s="78"/>
      <c r="G563" s="78"/>
      <c r="H563" s="132"/>
      <c r="I563" s="208"/>
      <c r="J563" s="82"/>
      <c r="K563" s="82"/>
      <c r="L563" s="83"/>
    </row>
    <row r="564" spans="1:12" ht="12.75">
      <c r="A564" s="78"/>
      <c r="C564" s="153"/>
      <c r="D564" s="78"/>
      <c r="E564" s="78"/>
      <c r="F564" s="78"/>
      <c r="G564" s="78"/>
      <c r="H564" s="132"/>
      <c r="I564" s="208"/>
      <c r="J564" s="82"/>
      <c r="K564" s="82"/>
      <c r="L564" s="83"/>
    </row>
    <row r="565" spans="1:12" ht="12.75">
      <c r="A565" s="78"/>
      <c r="C565" s="153"/>
      <c r="D565" s="78"/>
      <c r="E565" s="78"/>
      <c r="F565" s="78"/>
      <c r="G565" s="78"/>
      <c r="H565" s="132"/>
      <c r="I565" s="208"/>
      <c r="J565" s="82"/>
      <c r="K565" s="82"/>
      <c r="L565" s="83"/>
    </row>
    <row r="566" spans="1:12" ht="12.75">
      <c r="A566" s="78"/>
      <c r="C566" s="153"/>
      <c r="D566" s="78"/>
      <c r="E566" s="78"/>
      <c r="F566" s="78"/>
      <c r="G566" s="78"/>
      <c r="H566" s="132"/>
      <c r="I566" s="208"/>
      <c r="J566" s="82"/>
      <c r="K566" s="82"/>
      <c r="L566" s="83"/>
    </row>
    <row r="567" spans="1:12" ht="12.75">
      <c r="A567" s="78"/>
      <c r="C567" s="153"/>
      <c r="D567" s="78"/>
      <c r="E567" s="78"/>
      <c r="F567" s="78"/>
      <c r="G567" s="78"/>
      <c r="H567" s="132"/>
      <c r="I567" s="208"/>
      <c r="J567" s="82"/>
      <c r="K567" s="82"/>
      <c r="L567" s="83"/>
    </row>
    <row r="568" spans="1:12" ht="12.75">
      <c r="A568" s="78"/>
      <c r="C568" s="153"/>
      <c r="D568" s="78"/>
      <c r="E568" s="78"/>
      <c r="F568" s="78"/>
      <c r="G568" s="78"/>
      <c r="H568" s="132"/>
      <c r="I568" s="208"/>
      <c r="J568" s="82"/>
      <c r="K568" s="82"/>
      <c r="L568" s="83"/>
    </row>
    <row r="569" spans="1:12" ht="12.75">
      <c r="A569" s="78"/>
      <c r="C569" s="153"/>
      <c r="D569" s="78"/>
      <c r="E569" s="78"/>
      <c r="F569" s="78"/>
      <c r="G569" s="78"/>
      <c r="H569" s="132"/>
      <c r="I569" s="208"/>
      <c r="J569" s="82"/>
      <c r="K569" s="82"/>
      <c r="L569" s="83"/>
    </row>
    <row r="570" spans="1:12" ht="12.75">
      <c r="A570" s="78"/>
      <c r="C570" s="153"/>
      <c r="D570" s="78"/>
      <c r="E570" s="78"/>
      <c r="F570" s="78"/>
      <c r="G570" s="78"/>
      <c r="H570" s="132"/>
      <c r="I570" s="208"/>
      <c r="J570" s="82"/>
      <c r="K570" s="82"/>
      <c r="L570" s="83"/>
    </row>
    <row r="571" spans="1:12" ht="12.75">
      <c r="A571" s="78"/>
      <c r="C571" s="153"/>
      <c r="D571" s="78"/>
      <c r="E571" s="78"/>
      <c r="F571" s="78"/>
      <c r="G571" s="78"/>
      <c r="H571" s="132"/>
      <c r="I571" s="208"/>
      <c r="J571" s="82"/>
      <c r="K571" s="82"/>
      <c r="L571" s="83"/>
    </row>
    <row r="572" spans="1:12" ht="12.75">
      <c r="A572" s="78"/>
      <c r="C572" s="153"/>
      <c r="D572" s="78"/>
      <c r="E572" s="78"/>
      <c r="F572" s="78"/>
      <c r="G572" s="78"/>
      <c r="H572" s="132"/>
      <c r="I572" s="208"/>
      <c r="J572" s="82"/>
      <c r="K572" s="82"/>
      <c r="L572" s="83"/>
    </row>
    <row r="573" spans="1:12" ht="12.75">
      <c r="A573" s="78"/>
      <c r="C573" s="153"/>
      <c r="D573" s="78"/>
      <c r="E573" s="78"/>
      <c r="F573" s="78"/>
      <c r="G573" s="78"/>
      <c r="H573" s="132"/>
      <c r="I573" s="208"/>
      <c r="J573" s="82"/>
      <c r="K573" s="82"/>
      <c r="L573" s="83"/>
    </row>
    <row r="574" spans="1:12" ht="12.75">
      <c r="A574" s="78"/>
      <c r="C574" s="153"/>
      <c r="D574" s="78"/>
      <c r="E574" s="78"/>
      <c r="F574" s="78"/>
      <c r="G574" s="78"/>
      <c r="H574" s="132"/>
      <c r="I574" s="208"/>
      <c r="J574" s="82"/>
      <c r="K574" s="82"/>
      <c r="L574" s="83"/>
    </row>
    <row r="575" spans="1:12" ht="12.75">
      <c r="A575" s="78"/>
      <c r="C575" s="153"/>
      <c r="D575" s="78"/>
      <c r="E575" s="78"/>
      <c r="F575" s="78"/>
      <c r="G575" s="78"/>
      <c r="H575" s="132"/>
      <c r="I575" s="208"/>
      <c r="J575" s="82"/>
      <c r="K575" s="82"/>
      <c r="L575" s="83"/>
    </row>
    <row r="576" spans="1:12" ht="12.75">
      <c r="A576" s="78"/>
      <c r="C576" s="153"/>
      <c r="D576" s="78"/>
      <c r="E576" s="78"/>
      <c r="F576" s="78"/>
      <c r="G576" s="78"/>
      <c r="H576" s="132"/>
      <c r="I576" s="208"/>
      <c r="J576" s="82"/>
      <c r="K576" s="82"/>
      <c r="L576" s="83"/>
    </row>
    <row r="577" spans="1:12" ht="12.75">
      <c r="A577" s="78"/>
      <c r="C577" s="153"/>
      <c r="D577" s="78"/>
      <c r="E577" s="78"/>
      <c r="F577" s="78"/>
      <c r="G577" s="78"/>
      <c r="H577" s="132"/>
      <c r="I577" s="208"/>
      <c r="J577" s="82"/>
      <c r="K577" s="82"/>
      <c r="L577" s="83"/>
    </row>
    <row r="578" spans="1:12" ht="12.75">
      <c r="A578" s="78"/>
      <c r="C578" s="153"/>
      <c r="D578" s="78"/>
      <c r="E578" s="78"/>
      <c r="F578" s="78"/>
      <c r="G578" s="78"/>
      <c r="H578" s="132"/>
      <c r="I578" s="208"/>
      <c r="J578" s="82"/>
      <c r="K578" s="82"/>
      <c r="L578" s="83"/>
    </row>
    <row r="579" spans="1:12" ht="12.75">
      <c r="A579" s="78"/>
      <c r="C579" s="153"/>
      <c r="D579" s="78"/>
      <c r="E579" s="78"/>
      <c r="F579" s="78"/>
      <c r="G579" s="78"/>
      <c r="H579" s="132"/>
      <c r="I579" s="208"/>
      <c r="J579" s="82"/>
      <c r="K579" s="82"/>
      <c r="L579" s="83"/>
    </row>
    <row r="580" spans="1:12" ht="12.75">
      <c r="A580" s="78"/>
      <c r="C580" s="153"/>
      <c r="D580" s="78"/>
      <c r="E580" s="78"/>
      <c r="F580" s="78"/>
      <c r="G580" s="78"/>
      <c r="H580" s="132"/>
      <c r="I580" s="208"/>
      <c r="J580" s="82"/>
      <c r="K580" s="82"/>
      <c r="L580" s="83"/>
    </row>
    <row r="581" spans="1:12" ht="12.75">
      <c r="A581" s="78"/>
      <c r="C581" s="153"/>
      <c r="D581" s="78"/>
      <c r="E581" s="78"/>
      <c r="F581" s="78"/>
      <c r="G581" s="78"/>
      <c r="H581" s="132"/>
      <c r="I581" s="208"/>
      <c r="J581" s="82"/>
      <c r="K581" s="82"/>
      <c r="L581" s="83"/>
    </row>
    <row r="582" spans="1:12" ht="12.75">
      <c r="A582" s="78"/>
      <c r="C582" s="153"/>
      <c r="D582" s="78"/>
      <c r="E582" s="78"/>
      <c r="F582" s="78"/>
      <c r="G582" s="78"/>
      <c r="H582" s="132"/>
      <c r="I582" s="208"/>
      <c r="J582" s="82"/>
      <c r="K582" s="82"/>
      <c r="L582" s="83"/>
    </row>
    <row r="583" spans="1:12" ht="12.75">
      <c r="A583" s="78"/>
      <c r="C583" s="153"/>
      <c r="D583" s="78"/>
      <c r="E583" s="78"/>
      <c r="F583" s="78"/>
      <c r="G583" s="78"/>
      <c r="H583" s="132"/>
      <c r="I583" s="208"/>
      <c r="J583" s="82"/>
      <c r="K583" s="82"/>
      <c r="L583" s="83"/>
    </row>
    <row r="584" spans="1:12" ht="12.75">
      <c r="A584" s="78"/>
      <c r="C584" s="153"/>
      <c r="D584" s="78"/>
      <c r="E584" s="78"/>
      <c r="F584" s="78"/>
      <c r="G584" s="78"/>
      <c r="H584" s="132"/>
      <c r="I584" s="208"/>
      <c r="J584" s="82"/>
      <c r="K584" s="82"/>
      <c r="L584" s="83"/>
    </row>
    <row r="585" spans="1:12" ht="12.75">
      <c r="A585" s="78"/>
      <c r="C585" s="153"/>
      <c r="D585" s="78"/>
      <c r="E585" s="78"/>
      <c r="F585" s="78"/>
      <c r="G585" s="78"/>
      <c r="H585" s="132"/>
      <c r="I585" s="208"/>
      <c r="J585" s="82"/>
      <c r="K585" s="82"/>
      <c r="L585" s="83"/>
    </row>
    <row r="586" spans="1:12" ht="12.75">
      <c r="A586" s="78"/>
      <c r="C586" s="153"/>
      <c r="D586" s="78"/>
      <c r="E586" s="78"/>
      <c r="F586" s="78"/>
      <c r="G586" s="78"/>
      <c r="H586" s="132"/>
      <c r="I586" s="208"/>
      <c r="J586" s="82"/>
      <c r="K586" s="82"/>
      <c r="L586" s="83"/>
    </row>
    <row r="587" spans="1:12" ht="12.75">
      <c r="A587" s="78"/>
      <c r="C587" s="153"/>
      <c r="D587" s="78"/>
      <c r="E587" s="78"/>
      <c r="F587" s="78"/>
      <c r="G587" s="78"/>
      <c r="H587" s="132"/>
      <c r="I587" s="208"/>
      <c r="J587" s="82"/>
      <c r="K587" s="82"/>
      <c r="L587" s="83"/>
    </row>
    <row r="588" spans="1:12" ht="12.75">
      <c r="A588" s="78"/>
      <c r="C588" s="153"/>
      <c r="D588" s="78"/>
      <c r="E588" s="78"/>
      <c r="F588" s="78"/>
      <c r="G588" s="78"/>
      <c r="H588" s="132"/>
      <c r="I588" s="208"/>
      <c r="J588" s="82"/>
      <c r="K588" s="82"/>
      <c r="L588" s="83"/>
    </row>
    <row r="589" spans="1:12" ht="12.75">
      <c r="A589" s="78"/>
      <c r="C589" s="153"/>
      <c r="D589" s="78"/>
      <c r="E589" s="78"/>
      <c r="F589" s="78"/>
      <c r="G589" s="78"/>
      <c r="H589" s="132"/>
      <c r="I589" s="208"/>
      <c r="J589" s="82"/>
      <c r="K589" s="82"/>
      <c r="L589" s="83"/>
    </row>
    <row r="590" spans="1:12" ht="12.75">
      <c r="A590" s="78"/>
      <c r="C590" s="153"/>
      <c r="D590" s="78"/>
      <c r="E590" s="78"/>
      <c r="F590" s="78"/>
      <c r="G590" s="78"/>
      <c r="H590" s="132"/>
      <c r="I590" s="208"/>
      <c r="J590" s="82"/>
      <c r="K590" s="82"/>
      <c r="L590" s="83"/>
    </row>
    <row r="591" spans="1:12" ht="12.75">
      <c r="A591" s="78"/>
      <c r="C591" s="153"/>
      <c r="D591" s="78"/>
      <c r="E591" s="78"/>
      <c r="F591" s="78"/>
      <c r="G591" s="78"/>
      <c r="H591" s="132"/>
      <c r="I591" s="208"/>
      <c r="J591" s="82"/>
      <c r="K591" s="82"/>
      <c r="L591" s="83"/>
    </row>
    <row r="592" spans="1:12" ht="12.75">
      <c r="A592" s="78"/>
      <c r="C592" s="153"/>
      <c r="D592" s="78"/>
      <c r="E592" s="78"/>
      <c r="F592" s="78"/>
      <c r="G592" s="78"/>
      <c r="H592" s="132"/>
      <c r="I592" s="208"/>
      <c r="J592" s="82"/>
      <c r="K592" s="82"/>
      <c r="L592" s="83"/>
    </row>
    <row r="593" spans="1:12" ht="12.75">
      <c r="A593" s="78"/>
      <c r="C593" s="153"/>
      <c r="D593" s="78"/>
      <c r="E593" s="78"/>
      <c r="F593" s="78"/>
      <c r="G593" s="78"/>
      <c r="H593" s="132"/>
      <c r="I593" s="208"/>
      <c r="J593" s="82"/>
      <c r="K593" s="82"/>
      <c r="L593" s="83"/>
    </row>
    <row r="594" spans="1:12" ht="12.75">
      <c r="A594" s="78"/>
      <c r="C594" s="153"/>
      <c r="D594" s="78"/>
      <c r="E594" s="78"/>
      <c r="F594" s="78"/>
      <c r="G594" s="78"/>
      <c r="H594" s="132"/>
      <c r="I594" s="208"/>
      <c r="J594" s="82"/>
      <c r="K594" s="82"/>
      <c r="L594" s="83"/>
    </row>
    <row r="595" spans="1:12" ht="12.75">
      <c r="A595" s="78"/>
      <c r="C595" s="153"/>
      <c r="D595" s="78"/>
      <c r="E595" s="78"/>
      <c r="F595" s="78"/>
      <c r="G595" s="78"/>
      <c r="H595" s="132"/>
      <c r="I595" s="208"/>
      <c r="J595" s="82"/>
      <c r="K595" s="82"/>
      <c r="L595" s="83"/>
    </row>
    <row r="596" spans="1:7" ht="12.75">
      <c r="A596" s="78"/>
      <c r="C596" s="153"/>
      <c r="D596" s="78"/>
      <c r="E596" s="78"/>
      <c r="F596" s="78"/>
      <c r="G596" s="78"/>
    </row>
    <row r="597" spans="1:7" ht="12.75">
      <c r="A597" s="78"/>
      <c r="C597" s="153"/>
      <c r="D597" s="78"/>
      <c r="E597" s="78"/>
      <c r="F597" s="78"/>
      <c r="G597" s="78"/>
    </row>
    <row r="598" spans="1:7" ht="12.75">
      <c r="A598" s="78"/>
      <c r="C598" s="153"/>
      <c r="D598" s="78"/>
      <c r="E598" s="78"/>
      <c r="F598" s="78"/>
      <c r="G598" s="78"/>
    </row>
    <row r="599" spans="1:7" ht="12.75">
      <c r="A599" s="78"/>
      <c r="C599" s="153"/>
      <c r="D599" s="78"/>
      <c r="E599" s="78"/>
      <c r="F599" s="78"/>
      <c r="G599" s="78"/>
    </row>
    <row r="600" spans="1:7" ht="12.75">
      <c r="A600" s="78"/>
      <c r="C600" s="153"/>
      <c r="D600" s="78"/>
      <c r="E600" s="78"/>
      <c r="F600" s="78"/>
      <c r="G600" s="78"/>
    </row>
    <row r="601" spans="1:7" ht="12.75">
      <c r="A601" s="78"/>
      <c r="C601" s="153"/>
      <c r="D601" s="78"/>
      <c r="E601" s="78"/>
      <c r="F601" s="78"/>
      <c r="G601" s="78"/>
    </row>
  </sheetData>
  <sheetProtection/>
  <mergeCells count="9">
    <mergeCell ref="A445:G445"/>
    <mergeCell ref="A446:G446"/>
    <mergeCell ref="A447:G447"/>
    <mergeCell ref="L8:L9"/>
    <mergeCell ref="A4:G4"/>
    <mergeCell ref="A8:A9"/>
    <mergeCell ref="B8:B9"/>
    <mergeCell ref="C8:C9"/>
    <mergeCell ref="D8:D9"/>
  </mergeCells>
  <printOptions/>
  <pageMargins left="0.6692913385826772" right="0" top="2.362204724409449" bottom="0.35433070866141736" header="0.6692913385826772" footer="0.15748031496062992"/>
  <pageSetup horizontalDpi="300" verticalDpi="300" orientation="portrait" paperSize="9" scale="70" r:id="rId1"/>
  <headerFooter alignWithMargins="0">
    <oddFooter>&amp;CPágina &amp;P de &amp;N</oddFooter>
  </headerFooter>
  <rowBreaks count="8" manualBreakCount="8">
    <brk id="57" max="6" man="1"/>
    <brk id="113" max="6" man="1"/>
    <brk id="168" max="6" man="1"/>
    <brk id="222" max="6" man="1"/>
    <brk id="277" max="6" man="1"/>
    <brk id="320" max="6" man="1"/>
    <brk id="363" max="6" man="1"/>
    <brk id="41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showGridLines="0" tabSelected="1" zoomScalePageLayoutView="0" workbookViewId="0" topLeftCell="A13">
      <selection activeCell="D36" sqref="D36:E41"/>
    </sheetView>
  </sheetViews>
  <sheetFormatPr defaultColWidth="9.140625" defaultRowHeight="12.75"/>
  <cols>
    <col min="1" max="1" width="6.57421875" style="10" customWidth="1"/>
    <col min="2" max="2" width="60.7109375" style="8" bestFit="1" customWidth="1"/>
    <col min="3" max="3" width="19.28125" style="8" bestFit="1" customWidth="1"/>
    <col min="4" max="4" width="7.421875" style="8" bestFit="1" customWidth="1"/>
    <col min="5" max="5" width="9.8515625" style="8" bestFit="1" customWidth="1"/>
    <col min="6" max="6" width="4.8515625" style="34" customWidth="1"/>
    <col min="7" max="7" width="10.140625" style="8" bestFit="1" customWidth="1"/>
    <col min="8" max="8" width="4.140625" style="34" customWidth="1"/>
    <col min="9" max="9" width="10.140625" style="8" bestFit="1" customWidth="1"/>
    <col min="10" max="10" width="4.7109375" style="34" customWidth="1"/>
    <col min="11" max="11" width="10.140625" style="8" bestFit="1" customWidth="1"/>
    <col min="12" max="12" width="4.8515625" style="34" customWidth="1"/>
    <col min="13" max="13" width="11.140625" style="8" bestFit="1" customWidth="1"/>
    <col min="14" max="14" width="4.00390625" style="34" bestFit="1" customWidth="1"/>
    <col min="15" max="15" width="11.140625" style="8" bestFit="1" customWidth="1"/>
    <col min="16" max="16" width="4.7109375" style="34" customWidth="1"/>
    <col min="17" max="17" width="12.00390625" style="8" bestFit="1" customWidth="1"/>
    <col min="18" max="18" width="6.421875" style="8" bestFit="1" customWidth="1"/>
    <col min="19" max="16384" width="9.140625" style="8" customWidth="1"/>
  </cols>
  <sheetData>
    <row r="1" spans="1:16" ht="15.75" customHeight="1">
      <c r="A1" s="19" t="str">
        <f>ORCA!A1</f>
        <v>PREFEITURA MUNICIPAL DE TIMBÓ</v>
      </c>
      <c r="B1" s="18"/>
      <c r="C1" s="9"/>
      <c r="D1" s="1"/>
      <c r="E1" s="1"/>
      <c r="F1" s="35"/>
      <c r="I1" s="1"/>
      <c r="J1" s="35"/>
      <c r="K1" s="1"/>
      <c r="L1" s="35"/>
      <c r="O1" s="1"/>
      <c r="P1" s="35"/>
    </row>
    <row r="2" spans="1:16" ht="12.75">
      <c r="A2" s="19" t="str">
        <f>ORCA!A2</f>
        <v>SECRETARIA DE PLANEJAMENTO, TRÂNSITO E MEIO AMBIENTE</v>
      </c>
      <c r="B2" s="18"/>
      <c r="C2" s="1"/>
      <c r="D2" s="1"/>
      <c r="E2" s="1"/>
      <c r="F2" s="35"/>
      <c r="G2" s="2" t="s">
        <v>37</v>
      </c>
      <c r="H2" s="35"/>
      <c r="I2" s="1"/>
      <c r="J2" s="35"/>
      <c r="K2" s="77"/>
      <c r="L2" s="35"/>
      <c r="M2" s="2" t="s">
        <v>37</v>
      </c>
      <c r="N2" s="35"/>
      <c r="O2" s="1"/>
      <c r="P2" s="35"/>
    </row>
    <row r="3" spans="1:18" ht="12.75">
      <c r="A3" s="282" t="s">
        <v>38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4"/>
    </row>
    <row r="4" spans="1:18" ht="12.75">
      <c r="A4" s="41" t="str">
        <f>ORCA!A5</f>
        <v>PROJETO : </v>
      </c>
      <c r="B4" s="51" t="str">
        <f>ORCA!B5</f>
        <v>CONSTRUÇÃO DA ESCOLA MUNICIPAL NESTOR MARGARIDA</v>
      </c>
      <c r="C4" s="43"/>
      <c r="D4" s="43"/>
      <c r="E4" s="42"/>
      <c r="F4" s="60"/>
      <c r="G4" s="44"/>
      <c r="H4" s="59"/>
      <c r="I4" s="66" t="str">
        <f>ORCA!A7</f>
        <v>ÁREA TOTAL = 831,91m² / REFORMA BANHEIRO = 58,77m²</v>
      </c>
      <c r="J4" s="56"/>
      <c r="K4" s="45"/>
      <c r="L4" s="56"/>
      <c r="M4" s="44"/>
      <c r="N4" s="59"/>
      <c r="O4" s="66"/>
      <c r="P4" s="56"/>
      <c r="Q4" s="45"/>
      <c r="R4" s="46"/>
    </row>
    <row r="5" spans="1:18" ht="12.75">
      <c r="A5" s="69" t="str">
        <f>ORCA!A6</f>
        <v>LOCAL: :</v>
      </c>
      <c r="B5" s="70" t="str">
        <f>ORCA!B6</f>
        <v>RUA ARAPONGUINHAS, 1137 - BAIRRO ARAPONGUINHAS - TIMBÓ SC</v>
      </c>
      <c r="C5" s="48"/>
      <c r="D5" s="71"/>
      <c r="E5" s="72"/>
      <c r="F5" s="49"/>
      <c r="G5" s="73"/>
      <c r="H5" s="74"/>
      <c r="I5" s="48"/>
      <c r="J5" s="75"/>
      <c r="K5" s="47"/>
      <c r="L5" s="75"/>
      <c r="M5" s="73"/>
      <c r="N5" s="74"/>
      <c r="O5" s="48"/>
      <c r="P5" s="75"/>
      <c r="Q5" s="47"/>
      <c r="R5" s="50"/>
    </row>
    <row r="6" spans="1:18" s="13" customFormat="1" ht="12.75">
      <c r="A6" s="285" t="s">
        <v>0</v>
      </c>
      <c r="B6" s="287" t="s">
        <v>39</v>
      </c>
      <c r="C6" s="67" t="s">
        <v>51</v>
      </c>
      <c r="D6" s="289" t="s">
        <v>45</v>
      </c>
      <c r="E6" s="280" t="s">
        <v>70</v>
      </c>
      <c r="F6" s="281"/>
      <c r="G6" s="280" t="s">
        <v>71</v>
      </c>
      <c r="H6" s="281"/>
      <c r="I6" s="280" t="s">
        <v>72</v>
      </c>
      <c r="J6" s="281"/>
      <c r="K6" s="280" t="s">
        <v>73</v>
      </c>
      <c r="L6" s="281"/>
      <c r="M6" s="280" t="s">
        <v>144</v>
      </c>
      <c r="N6" s="281"/>
      <c r="O6" s="280" t="s">
        <v>145</v>
      </c>
      <c r="P6" s="281"/>
      <c r="Q6" s="68" t="s">
        <v>51</v>
      </c>
      <c r="R6" s="67" t="s">
        <v>45</v>
      </c>
    </row>
    <row r="7" spans="1:18" s="13" customFormat="1" ht="13.5" thickBot="1">
      <c r="A7" s="286"/>
      <c r="B7" s="288"/>
      <c r="C7" s="14" t="s">
        <v>16</v>
      </c>
      <c r="D7" s="290"/>
      <c r="E7" s="20" t="s">
        <v>40</v>
      </c>
      <c r="F7" s="29" t="s">
        <v>45</v>
      </c>
      <c r="G7" s="20" t="s">
        <v>41</v>
      </c>
      <c r="H7" s="29" t="s">
        <v>45</v>
      </c>
      <c r="I7" s="20" t="s">
        <v>42</v>
      </c>
      <c r="J7" s="29" t="s">
        <v>45</v>
      </c>
      <c r="K7" s="20" t="s">
        <v>43</v>
      </c>
      <c r="L7" s="29" t="s">
        <v>45</v>
      </c>
      <c r="M7" s="20" t="s">
        <v>146</v>
      </c>
      <c r="N7" s="29" t="s">
        <v>45</v>
      </c>
      <c r="O7" s="20" t="s">
        <v>147</v>
      </c>
      <c r="P7" s="29" t="s">
        <v>45</v>
      </c>
      <c r="Q7" s="21" t="s">
        <v>16</v>
      </c>
      <c r="R7" s="14" t="s">
        <v>16</v>
      </c>
    </row>
    <row r="8" spans="1:22" s="96" customFormat="1" ht="13.5" thickTop="1">
      <c r="A8" s="97">
        <v>1</v>
      </c>
      <c r="B8" s="98" t="str">
        <f>ORCA!B10</f>
        <v>SERVIÇOS INICIAIS</v>
      </c>
      <c r="C8" s="11">
        <f>ORCA!G16</f>
        <v>17975.35</v>
      </c>
      <c r="D8" s="12">
        <f aca="true" t="shared" si="0" ref="D8:D29">SUM(C8*100%/$C$30)</f>
        <v>0.014252736480050031</v>
      </c>
      <c r="E8" s="24">
        <f>SUM($C$8*F8)</f>
        <v>17975.35</v>
      </c>
      <c r="F8" s="30">
        <v>1</v>
      </c>
      <c r="G8" s="24">
        <f>SUM(C8*H8)</f>
        <v>0</v>
      </c>
      <c r="H8" s="30"/>
      <c r="I8" s="24">
        <f>SUM(C8*J8)</f>
        <v>0</v>
      </c>
      <c r="J8" s="30"/>
      <c r="K8" s="24">
        <f>SUM(C8*L8)</f>
        <v>0</v>
      </c>
      <c r="L8" s="30"/>
      <c r="M8" s="24">
        <f>SUM(C8*N8)</f>
        <v>0</v>
      </c>
      <c r="N8" s="30"/>
      <c r="O8" s="24">
        <f>SUM(C8*P8)</f>
        <v>0</v>
      </c>
      <c r="P8" s="30"/>
      <c r="Q8" s="37">
        <f>SUM(E8+G8+I8+K8+M8+O8)</f>
        <v>17975.35</v>
      </c>
      <c r="R8" s="38">
        <f>SUM(F8+H8+J8+L8+N8+P8)</f>
        <v>1</v>
      </c>
      <c r="S8" s="8"/>
      <c r="T8" s="8"/>
      <c r="U8" s="8"/>
      <c r="V8" s="8"/>
    </row>
    <row r="9" spans="1:18" ht="12.75">
      <c r="A9" s="61">
        <v>2</v>
      </c>
      <c r="B9" s="11" t="str">
        <f>ORCA!B17</f>
        <v>PREPARO DO TERRENO</v>
      </c>
      <c r="C9" s="11">
        <f>ORCA!G22</f>
        <v>13834.059999999998</v>
      </c>
      <c r="D9" s="12">
        <f t="shared" si="0"/>
        <v>0.010969088870547773</v>
      </c>
      <c r="E9" s="24">
        <f>SUM($C$9*F9)</f>
        <v>13834.059999999998</v>
      </c>
      <c r="F9" s="30">
        <v>1</v>
      </c>
      <c r="G9" s="24">
        <f aca="true" t="shared" si="1" ref="G9:G28">SUM(C9*H9)</f>
        <v>0</v>
      </c>
      <c r="H9" s="30"/>
      <c r="I9" s="24">
        <f aca="true" t="shared" si="2" ref="I9:I28">SUM(C9*J9)</f>
        <v>0</v>
      </c>
      <c r="J9" s="30"/>
      <c r="K9" s="24">
        <f aca="true" t="shared" si="3" ref="K9:K28">SUM(C9*L9)</f>
        <v>0</v>
      </c>
      <c r="L9" s="30"/>
      <c r="M9" s="24">
        <f aca="true" t="shared" si="4" ref="M9:M28">SUM(C9*N9)</f>
        <v>0</v>
      </c>
      <c r="N9" s="30"/>
      <c r="O9" s="24">
        <f aca="true" t="shared" si="5" ref="O9:O28">SUM(C9*P9)</f>
        <v>0</v>
      </c>
      <c r="P9" s="30"/>
      <c r="Q9" s="37">
        <f aca="true" t="shared" si="6" ref="Q9:Q29">SUM(E9+G9+I9+K9+M9+O9)</f>
        <v>13834.059999999998</v>
      </c>
      <c r="R9" s="38">
        <f aca="true" t="shared" si="7" ref="R9:R29">SUM(F9+H9+J9+L9+N9+P9)</f>
        <v>1</v>
      </c>
    </row>
    <row r="10" spans="1:18" ht="12.75">
      <c r="A10" s="61">
        <v>3</v>
      </c>
      <c r="B10" s="11" t="str">
        <f>ORCA!B23</f>
        <v>REFORMA DO BANHEIRO</v>
      </c>
      <c r="C10" s="11">
        <f>ORCA!G31</f>
        <v>2180.7799999999997</v>
      </c>
      <c r="D10" s="12">
        <f t="shared" si="0"/>
        <v>0.0017291503453876283</v>
      </c>
      <c r="E10" s="24">
        <f>SUM($C$10*F10)</f>
        <v>436.15599999999995</v>
      </c>
      <c r="F10" s="30">
        <v>0.2</v>
      </c>
      <c r="G10" s="24">
        <f t="shared" si="1"/>
        <v>1744.6239999999998</v>
      </c>
      <c r="H10" s="30">
        <v>0.8</v>
      </c>
      <c r="I10" s="24">
        <f t="shared" si="2"/>
        <v>0</v>
      </c>
      <c r="J10" s="30"/>
      <c r="K10" s="24">
        <f t="shared" si="3"/>
        <v>0</v>
      </c>
      <c r="L10" s="30"/>
      <c r="M10" s="24">
        <f t="shared" si="4"/>
        <v>0</v>
      </c>
      <c r="N10" s="30"/>
      <c r="O10" s="24">
        <f t="shared" si="5"/>
        <v>0</v>
      </c>
      <c r="P10" s="30"/>
      <c r="Q10" s="37">
        <f t="shared" si="6"/>
        <v>2180.7799999999997</v>
      </c>
      <c r="R10" s="38">
        <f t="shared" si="7"/>
        <v>1</v>
      </c>
    </row>
    <row r="11" spans="1:18" ht="12.75">
      <c r="A11" s="61">
        <v>4</v>
      </c>
      <c r="B11" s="11" t="str">
        <f>ORCA!B32</f>
        <v>MOVIMENTO EM TERRA</v>
      </c>
      <c r="C11" s="11">
        <f>ORCA!G35</f>
        <v>1721.94</v>
      </c>
      <c r="D11" s="12">
        <f t="shared" si="0"/>
        <v>0.001365334029905251</v>
      </c>
      <c r="E11" s="24">
        <f>SUM($C$11*F11)</f>
        <v>860.97</v>
      </c>
      <c r="F11" s="30">
        <v>0.5</v>
      </c>
      <c r="G11" s="24">
        <f t="shared" si="1"/>
        <v>344.38800000000003</v>
      </c>
      <c r="H11" s="30">
        <v>0.2</v>
      </c>
      <c r="I11" s="24">
        <f t="shared" si="2"/>
        <v>516.582</v>
      </c>
      <c r="J11" s="30">
        <v>0.3</v>
      </c>
      <c r="K11" s="24">
        <f t="shared" si="3"/>
        <v>0</v>
      </c>
      <c r="L11" s="30"/>
      <c r="M11" s="24">
        <f t="shared" si="4"/>
        <v>0</v>
      </c>
      <c r="N11" s="30"/>
      <c r="O11" s="24">
        <f t="shared" si="5"/>
        <v>0</v>
      </c>
      <c r="P11" s="30"/>
      <c r="Q11" s="37">
        <f t="shared" si="6"/>
        <v>1721.94</v>
      </c>
      <c r="R11" s="38">
        <f t="shared" si="7"/>
        <v>1</v>
      </c>
    </row>
    <row r="12" spans="1:18" ht="12.75">
      <c r="A12" s="61">
        <v>5</v>
      </c>
      <c r="B12" s="11" t="str">
        <f>ORCA!B36</f>
        <v>INFRAESTRUTURA</v>
      </c>
      <c r="C12" s="11">
        <f>ORCA!G41</f>
        <v>74312.29999999999</v>
      </c>
      <c r="D12" s="12">
        <f t="shared" si="0"/>
        <v>0.058922559456501364</v>
      </c>
      <c r="E12" s="24">
        <f>SUM($C$12*F12)</f>
        <v>22293.689999999995</v>
      </c>
      <c r="F12" s="30">
        <v>0.3</v>
      </c>
      <c r="G12" s="24">
        <f t="shared" si="1"/>
        <v>52018.609999999986</v>
      </c>
      <c r="H12" s="30">
        <v>0.7</v>
      </c>
      <c r="I12" s="24">
        <f t="shared" si="2"/>
        <v>0</v>
      </c>
      <c r="J12" s="30"/>
      <c r="K12" s="24">
        <f t="shared" si="3"/>
        <v>0</v>
      </c>
      <c r="L12" s="30"/>
      <c r="M12" s="24">
        <f t="shared" si="4"/>
        <v>0</v>
      </c>
      <c r="N12" s="30"/>
      <c r="O12" s="24">
        <f t="shared" si="5"/>
        <v>0</v>
      </c>
      <c r="P12" s="30"/>
      <c r="Q12" s="37">
        <f t="shared" si="6"/>
        <v>74312.29999999999</v>
      </c>
      <c r="R12" s="38">
        <f t="shared" si="7"/>
        <v>1</v>
      </c>
    </row>
    <row r="13" spans="1:18" ht="12.75">
      <c r="A13" s="61">
        <v>6</v>
      </c>
      <c r="B13" s="11" t="str">
        <f>ORCA!B42</f>
        <v>SUPRA-ESTRUTURA</v>
      </c>
      <c r="C13" s="11">
        <f>ORCA!G50</f>
        <v>243138.95000000004</v>
      </c>
      <c r="D13" s="12">
        <f t="shared" si="0"/>
        <v>0.19278597537105321</v>
      </c>
      <c r="E13" s="24">
        <f>SUM($C$13*F13)</f>
        <v>0</v>
      </c>
      <c r="F13" s="30"/>
      <c r="G13" s="24">
        <f t="shared" si="1"/>
        <v>72941.68500000001</v>
      </c>
      <c r="H13" s="30">
        <v>0.3</v>
      </c>
      <c r="I13" s="24">
        <f t="shared" si="2"/>
        <v>85098.6325</v>
      </c>
      <c r="J13" s="30">
        <v>0.35</v>
      </c>
      <c r="K13" s="24">
        <f t="shared" si="3"/>
        <v>85098.6325</v>
      </c>
      <c r="L13" s="30">
        <v>0.35</v>
      </c>
      <c r="M13" s="24">
        <f t="shared" si="4"/>
        <v>0</v>
      </c>
      <c r="N13" s="30"/>
      <c r="O13" s="24">
        <f t="shared" si="5"/>
        <v>0</v>
      </c>
      <c r="P13" s="30"/>
      <c r="Q13" s="37">
        <f t="shared" si="6"/>
        <v>243138.95</v>
      </c>
      <c r="R13" s="38">
        <f t="shared" si="7"/>
        <v>0.9999999999999999</v>
      </c>
    </row>
    <row r="14" spans="1:18" ht="12.75">
      <c r="A14" s="61">
        <v>7</v>
      </c>
      <c r="B14" s="11" t="str">
        <f>ORCA!B51</f>
        <v>IMPERMEABILIZAÇÕES</v>
      </c>
      <c r="C14" s="11">
        <f>ORCA!G53</f>
        <v>979.75</v>
      </c>
      <c r="D14" s="12">
        <f t="shared" si="0"/>
        <v>0.0007768482152686328</v>
      </c>
      <c r="E14" s="24">
        <f>SUM($C$14*F14)</f>
        <v>0</v>
      </c>
      <c r="F14" s="30"/>
      <c r="G14" s="24">
        <f t="shared" si="1"/>
        <v>0</v>
      </c>
      <c r="H14" s="30"/>
      <c r="I14" s="24">
        <f t="shared" si="2"/>
        <v>0</v>
      </c>
      <c r="J14" s="30"/>
      <c r="K14" s="24">
        <f t="shared" si="3"/>
        <v>0</v>
      </c>
      <c r="L14" s="30"/>
      <c r="M14" s="24">
        <f t="shared" si="4"/>
        <v>293.925</v>
      </c>
      <c r="N14" s="30">
        <v>0.3</v>
      </c>
      <c r="O14" s="24">
        <f t="shared" si="5"/>
        <v>685.8249999999999</v>
      </c>
      <c r="P14" s="30">
        <v>0.7</v>
      </c>
      <c r="Q14" s="37">
        <f t="shared" si="6"/>
        <v>979.75</v>
      </c>
      <c r="R14" s="38">
        <f t="shared" si="7"/>
        <v>1</v>
      </c>
    </row>
    <row r="15" spans="1:18" ht="12.75">
      <c r="A15" s="61">
        <v>8</v>
      </c>
      <c r="B15" s="11" t="str">
        <f>ORCA!B54</f>
        <v>PAREDES E PAINÉIS</v>
      </c>
      <c r="C15" s="11">
        <f>ORCA!G57</f>
        <v>52360.22</v>
      </c>
      <c r="D15" s="12">
        <f t="shared" si="0"/>
        <v>0.041516655736742</v>
      </c>
      <c r="E15" s="24">
        <f>SUM($C$15*F15)</f>
        <v>0</v>
      </c>
      <c r="F15" s="30"/>
      <c r="G15" s="24">
        <f t="shared" si="1"/>
        <v>0</v>
      </c>
      <c r="H15" s="30"/>
      <c r="I15" s="24">
        <f t="shared" si="2"/>
        <v>26180.11</v>
      </c>
      <c r="J15" s="30">
        <v>0.5</v>
      </c>
      <c r="K15" s="24">
        <f t="shared" si="3"/>
        <v>20944.088000000003</v>
      </c>
      <c r="L15" s="30">
        <v>0.4</v>
      </c>
      <c r="M15" s="24">
        <f t="shared" si="4"/>
        <v>5236.022000000001</v>
      </c>
      <c r="N15" s="30">
        <v>0.1</v>
      </c>
      <c r="O15" s="24">
        <f t="shared" si="5"/>
        <v>0</v>
      </c>
      <c r="P15" s="30"/>
      <c r="Q15" s="37">
        <f t="shared" si="6"/>
        <v>52360.22</v>
      </c>
      <c r="R15" s="38">
        <f t="shared" si="7"/>
        <v>1</v>
      </c>
    </row>
    <row r="16" spans="1:18" ht="12.75">
      <c r="A16" s="61">
        <v>9</v>
      </c>
      <c r="B16" s="11" t="str">
        <f>ORCA!B58</f>
        <v>ESQUADRIAS</v>
      </c>
      <c r="C16" s="11">
        <f>ORCA!G64</f>
        <v>52636.28</v>
      </c>
      <c r="D16" s="12">
        <f t="shared" si="0"/>
        <v>0.04173554496185765</v>
      </c>
      <c r="E16" s="24">
        <f>SUM($C$16*F16)</f>
        <v>0</v>
      </c>
      <c r="F16" s="30"/>
      <c r="G16" s="24">
        <f t="shared" si="1"/>
        <v>0</v>
      </c>
      <c r="H16" s="30"/>
      <c r="I16" s="24">
        <f t="shared" si="2"/>
        <v>10527.256000000001</v>
      </c>
      <c r="J16" s="30">
        <v>0.2</v>
      </c>
      <c r="K16" s="24">
        <f t="shared" si="3"/>
        <v>26318.14</v>
      </c>
      <c r="L16" s="30">
        <v>0.5</v>
      </c>
      <c r="M16" s="24">
        <f t="shared" si="4"/>
        <v>15790.883999999998</v>
      </c>
      <c r="N16" s="30">
        <v>0.3</v>
      </c>
      <c r="O16" s="24">
        <f t="shared" si="5"/>
        <v>0</v>
      </c>
      <c r="P16" s="30">
        <v>0</v>
      </c>
      <c r="Q16" s="37">
        <f t="shared" si="6"/>
        <v>52636.28</v>
      </c>
      <c r="R16" s="38">
        <f t="shared" si="7"/>
        <v>1</v>
      </c>
    </row>
    <row r="17" spans="1:18" ht="12.75">
      <c r="A17" s="61">
        <v>10</v>
      </c>
      <c r="B17" s="11" t="str">
        <f>ORCA!B65</f>
        <v>COBERTURA E PROTEÇÕES</v>
      </c>
      <c r="C17" s="11">
        <f>ORCA!G73</f>
        <v>16003.630000000001</v>
      </c>
      <c r="D17" s="12">
        <f t="shared" si="0"/>
        <v>0.012689350756131208</v>
      </c>
      <c r="E17" s="24">
        <f>SUM($C$17*F17)</f>
        <v>0</v>
      </c>
      <c r="F17" s="30"/>
      <c r="G17" s="24">
        <f t="shared" si="1"/>
        <v>0</v>
      </c>
      <c r="H17" s="30"/>
      <c r="I17" s="24">
        <f t="shared" si="2"/>
        <v>0</v>
      </c>
      <c r="J17" s="30"/>
      <c r="K17" s="24">
        <f t="shared" si="3"/>
        <v>6401.452000000001</v>
      </c>
      <c r="L17" s="30">
        <v>0.4</v>
      </c>
      <c r="M17" s="24">
        <f t="shared" si="4"/>
        <v>9602.178</v>
      </c>
      <c r="N17" s="30">
        <v>0.6</v>
      </c>
      <c r="O17" s="24">
        <f t="shared" si="5"/>
        <v>0</v>
      </c>
      <c r="P17" s="30"/>
      <c r="Q17" s="37">
        <f t="shared" si="6"/>
        <v>16003.630000000001</v>
      </c>
      <c r="R17" s="38">
        <f t="shared" si="7"/>
        <v>1</v>
      </c>
    </row>
    <row r="18" spans="1:18" ht="12.75">
      <c r="A18" s="61">
        <v>11</v>
      </c>
      <c r="B18" s="11" t="str">
        <f>ORCA!B74</f>
        <v>REVESTIMENTOS</v>
      </c>
      <c r="C18" s="11">
        <f>ORCA!G79</f>
        <v>33522.8</v>
      </c>
      <c r="D18" s="12">
        <f t="shared" si="0"/>
        <v>0.026580380046754098</v>
      </c>
      <c r="E18" s="24">
        <f>SUM($C$17*F18)</f>
        <v>0</v>
      </c>
      <c r="F18" s="30"/>
      <c r="G18" s="24">
        <f>SUM(C18*H18)</f>
        <v>0</v>
      </c>
      <c r="H18" s="30"/>
      <c r="I18" s="24">
        <f>SUM(C18*J18)</f>
        <v>3352.2800000000007</v>
      </c>
      <c r="J18" s="30">
        <v>0.1</v>
      </c>
      <c r="K18" s="24">
        <f>SUM(C18*L18)</f>
        <v>16761.4</v>
      </c>
      <c r="L18" s="30">
        <v>0.5</v>
      </c>
      <c r="M18" s="24">
        <f>SUM(C18*N18)</f>
        <v>13409.120000000003</v>
      </c>
      <c r="N18" s="30">
        <v>0.4</v>
      </c>
      <c r="O18" s="24">
        <f>SUM(C18*P18)</f>
        <v>0</v>
      </c>
      <c r="P18" s="30"/>
      <c r="Q18" s="37">
        <f t="shared" si="6"/>
        <v>33522.8</v>
      </c>
      <c r="R18" s="38">
        <f t="shared" si="7"/>
        <v>1</v>
      </c>
    </row>
    <row r="19" spans="1:18" ht="12.75">
      <c r="A19" s="61">
        <v>12</v>
      </c>
      <c r="B19" s="11" t="str">
        <f>ORCA!B80</f>
        <v>PAVIMENTAÇÕES</v>
      </c>
      <c r="C19" s="11">
        <f>ORCA!G87</f>
        <v>51187.24</v>
      </c>
      <c r="D19" s="12">
        <f t="shared" si="0"/>
        <v>0.04058659457874679</v>
      </c>
      <c r="E19" s="24">
        <f>SUM($C$19*F19)</f>
        <v>0</v>
      </c>
      <c r="F19" s="30"/>
      <c r="G19" s="24">
        <f t="shared" si="1"/>
        <v>7678.085999999999</v>
      </c>
      <c r="H19" s="30">
        <v>0.15</v>
      </c>
      <c r="I19" s="24">
        <f t="shared" si="2"/>
        <v>7678.085999999999</v>
      </c>
      <c r="J19" s="30">
        <v>0.15</v>
      </c>
      <c r="K19" s="24">
        <f t="shared" si="3"/>
        <v>30712.343999999997</v>
      </c>
      <c r="L19" s="30">
        <v>0.6</v>
      </c>
      <c r="M19" s="24">
        <f t="shared" si="4"/>
        <v>5118.724</v>
      </c>
      <c r="N19" s="30">
        <v>0.1</v>
      </c>
      <c r="O19" s="24">
        <f t="shared" si="5"/>
        <v>0</v>
      </c>
      <c r="P19" s="30"/>
      <c r="Q19" s="37">
        <f t="shared" si="6"/>
        <v>51187.24</v>
      </c>
      <c r="R19" s="38">
        <f t="shared" si="7"/>
        <v>0.9999999999999999</v>
      </c>
    </row>
    <row r="20" spans="1:18" ht="12.75">
      <c r="A20" s="61">
        <v>13</v>
      </c>
      <c r="B20" s="11" t="str">
        <f>ORCA!B88</f>
        <v>INSTALAÇÕES HIDRÁULICAS</v>
      </c>
      <c r="C20" s="11">
        <f>ORCA!G91</f>
        <v>609.3299999999999</v>
      </c>
      <c r="D20" s="12">
        <f t="shared" si="0"/>
        <v>0.0004831405185094524</v>
      </c>
      <c r="E20" s="24">
        <f>SUM($C$20*F20)</f>
        <v>182.79899999999998</v>
      </c>
      <c r="F20" s="30">
        <v>0.3</v>
      </c>
      <c r="G20" s="24">
        <f t="shared" si="1"/>
        <v>304.66499999999996</v>
      </c>
      <c r="H20" s="30">
        <v>0.5</v>
      </c>
      <c r="I20" s="24">
        <f t="shared" si="2"/>
        <v>121.86599999999999</v>
      </c>
      <c r="J20" s="30">
        <v>0.2</v>
      </c>
      <c r="K20" s="24">
        <f t="shared" si="3"/>
        <v>0</v>
      </c>
      <c r="L20" s="30"/>
      <c r="M20" s="24">
        <f t="shared" si="4"/>
        <v>0</v>
      </c>
      <c r="N20" s="30"/>
      <c r="O20" s="24">
        <f t="shared" si="5"/>
        <v>0</v>
      </c>
      <c r="P20" s="30"/>
      <c r="Q20" s="37">
        <f t="shared" si="6"/>
        <v>609.3299999999999</v>
      </c>
      <c r="R20" s="38">
        <f t="shared" si="7"/>
        <v>1</v>
      </c>
    </row>
    <row r="21" spans="1:18" ht="12.75">
      <c r="A21" s="61">
        <v>14</v>
      </c>
      <c r="B21" s="11" t="str">
        <f>ORCA!B92</f>
        <v>INSTALAÇÕES SANITÁRIAS</v>
      </c>
      <c r="C21" s="11">
        <f>ORCA!G113</f>
        <v>7676.270000000003</v>
      </c>
      <c r="D21" s="12">
        <f t="shared" si="0"/>
        <v>0.006086549272181833</v>
      </c>
      <c r="E21" s="24">
        <f>SUM($C$21*F21)</f>
        <v>767.6270000000004</v>
      </c>
      <c r="F21" s="30">
        <v>0.1</v>
      </c>
      <c r="G21" s="24">
        <f t="shared" si="1"/>
        <v>3070.5080000000016</v>
      </c>
      <c r="H21" s="30">
        <v>0.4</v>
      </c>
      <c r="I21" s="24">
        <f t="shared" si="2"/>
        <v>3838.1350000000016</v>
      </c>
      <c r="J21" s="30">
        <v>0.5</v>
      </c>
      <c r="K21" s="24">
        <f t="shared" si="3"/>
        <v>0</v>
      </c>
      <c r="L21" s="30"/>
      <c r="M21" s="24">
        <f t="shared" si="4"/>
        <v>0</v>
      </c>
      <c r="N21" s="30"/>
      <c r="O21" s="24">
        <f t="shared" si="5"/>
        <v>0</v>
      </c>
      <c r="P21" s="30"/>
      <c r="Q21" s="37">
        <f t="shared" si="6"/>
        <v>7676.270000000004</v>
      </c>
      <c r="R21" s="38">
        <f t="shared" si="7"/>
        <v>1</v>
      </c>
    </row>
    <row r="22" spans="1:18" ht="12.75">
      <c r="A22" s="61">
        <v>15</v>
      </c>
      <c r="B22" s="11" t="str">
        <f>ORCA!B114</f>
        <v>EQUIPAMENTOS E APARELHOS</v>
      </c>
      <c r="C22" s="11">
        <f>ORCA!G121</f>
        <v>11480.53</v>
      </c>
      <c r="D22" s="12">
        <f t="shared" si="0"/>
        <v>0.009102964267249805</v>
      </c>
      <c r="E22" s="24">
        <f>SUM($C$22*F22)</f>
        <v>0</v>
      </c>
      <c r="F22" s="30"/>
      <c r="G22" s="24">
        <f t="shared" si="1"/>
        <v>2296.106</v>
      </c>
      <c r="H22" s="30">
        <v>0.2</v>
      </c>
      <c r="I22" s="24">
        <f t="shared" si="2"/>
        <v>5740.265</v>
      </c>
      <c r="J22" s="30">
        <v>0.5</v>
      </c>
      <c r="K22" s="24">
        <f t="shared" si="3"/>
        <v>3444.159</v>
      </c>
      <c r="L22" s="30">
        <v>0.3</v>
      </c>
      <c r="M22" s="24">
        <f t="shared" si="4"/>
        <v>0</v>
      </c>
      <c r="N22" s="30"/>
      <c r="O22" s="24">
        <f t="shared" si="5"/>
        <v>0</v>
      </c>
      <c r="P22" s="30"/>
      <c r="Q22" s="37">
        <f t="shared" si="6"/>
        <v>11480.53</v>
      </c>
      <c r="R22" s="38">
        <f t="shared" si="7"/>
        <v>1</v>
      </c>
    </row>
    <row r="23" spans="1:18" ht="12.75">
      <c r="A23" s="61">
        <v>16</v>
      </c>
      <c r="B23" s="11" t="str">
        <f>ORCA!B122</f>
        <v>DRENAGEM PLUVIAL</v>
      </c>
      <c r="C23" s="11">
        <f>ORCA!G126</f>
        <v>2897.14</v>
      </c>
      <c r="D23" s="12">
        <f t="shared" si="0"/>
        <v>0.002297155435961589</v>
      </c>
      <c r="E23" s="24">
        <f>SUM($C$23*F23)</f>
        <v>289.714</v>
      </c>
      <c r="F23" s="30">
        <v>0.1</v>
      </c>
      <c r="G23" s="24">
        <f t="shared" si="1"/>
        <v>0</v>
      </c>
      <c r="H23" s="30"/>
      <c r="I23" s="24">
        <f t="shared" si="2"/>
        <v>0</v>
      </c>
      <c r="J23" s="30"/>
      <c r="K23" s="24">
        <f t="shared" si="3"/>
        <v>0</v>
      </c>
      <c r="L23" s="30"/>
      <c r="M23" s="24">
        <f t="shared" si="4"/>
        <v>1448.57</v>
      </c>
      <c r="N23" s="30">
        <v>0.5</v>
      </c>
      <c r="O23" s="24">
        <f t="shared" si="5"/>
        <v>1158.856</v>
      </c>
      <c r="P23" s="30">
        <v>0.4</v>
      </c>
      <c r="Q23" s="37">
        <f t="shared" si="6"/>
        <v>2897.14</v>
      </c>
      <c r="R23" s="38">
        <f t="shared" si="7"/>
        <v>1</v>
      </c>
    </row>
    <row r="24" spans="1:18" ht="12.75">
      <c r="A24" s="61">
        <v>17</v>
      </c>
      <c r="B24" s="128" t="str">
        <f>ORCA!B127</f>
        <v>INSTALAÇÕES  ELÉTRICAS  </v>
      </c>
      <c r="C24" s="11">
        <f>ORCA!G320</f>
        <v>364739.26000000007</v>
      </c>
      <c r="D24" s="12">
        <f t="shared" si="0"/>
        <v>0.28920341226782537</v>
      </c>
      <c r="E24" s="24">
        <f>SUM($C$24*F24)</f>
        <v>36473.92600000001</v>
      </c>
      <c r="F24" s="30">
        <v>0.1</v>
      </c>
      <c r="G24" s="24">
        <f t="shared" si="1"/>
        <v>36473.92600000001</v>
      </c>
      <c r="H24" s="30">
        <v>0.1</v>
      </c>
      <c r="I24" s="24">
        <f t="shared" si="2"/>
        <v>36473.92600000001</v>
      </c>
      <c r="J24" s="30">
        <v>0.1</v>
      </c>
      <c r="K24" s="24">
        <f t="shared" si="3"/>
        <v>72947.85200000001</v>
      </c>
      <c r="L24" s="30">
        <v>0.2</v>
      </c>
      <c r="M24" s="24">
        <f t="shared" si="4"/>
        <v>72947.85200000001</v>
      </c>
      <c r="N24" s="30">
        <v>0.2</v>
      </c>
      <c r="O24" s="24">
        <f t="shared" si="5"/>
        <v>109421.77800000002</v>
      </c>
      <c r="P24" s="30">
        <v>0.3</v>
      </c>
      <c r="Q24" s="37">
        <f t="shared" si="6"/>
        <v>364739.26000000007</v>
      </c>
      <c r="R24" s="38">
        <f t="shared" si="7"/>
        <v>1</v>
      </c>
    </row>
    <row r="25" spans="1:18" ht="12.75">
      <c r="A25" s="61">
        <v>18</v>
      </c>
      <c r="B25" s="11" t="str">
        <f>ORCA!B321</f>
        <v>PREVENTIVO CONTRA INCÊNDIO</v>
      </c>
      <c r="C25" s="11">
        <f>ORCA!G412</f>
        <v>146423.47000000003</v>
      </c>
      <c r="D25" s="12">
        <f t="shared" si="0"/>
        <v>0.11609983296038807</v>
      </c>
      <c r="E25" s="24">
        <f>SUM($C$25*F25)</f>
        <v>0</v>
      </c>
      <c r="F25" s="30"/>
      <c r="G25" s="24">
        <f t="shared" si="1"/>
        <v>0</v>
      </c>
      <c r="H25" s="30"/>
      <c r="I25" s="24">
        <f t="shared" si="2"/>
        <v>0</v>
      </c>
      <c r="J25" s="30"/>
      <c r="K25" s="24">
        <f t="shared" si="3"/>
        <v>43927.041000000005</v>
      </c>
      <c r="L25" s="30">
        <v>0.3</v>
      </c>
      <c r="M25" s="24">
        <f t="shared" si="4"/>
        <v>58569.38800000001</v>
      </c>
      <c r="N25" s="30">
        <v>0.4</v>
      </c>
      <c r="O25" s="24">
        <f t="shared" si="5"/>
        <v>43927.041000000005</v>
      </c>
      <c r="P25" s="30">
        <v>0.3</v>
      </c>
      <c r="Q25" s="37">
        <f t="shared" si="6"/>
        <v>146423.47000000003</v>
      </c>
      <c r="R25" s="38">
        <f t="shared" si="7"/>
        <v>1</v>
      </c>
    </row>
    <row r="26" spans="1:18" ht="12.75">
      <c r="A26" s="61">
        <v>19</v>
      </c>
      <c r="B26" s="11" t="str">
        <f>ORCA!B413</f>
        <v>RAMPA DE ACESSIBILIDADE</v>
      </c>
      <c r="C26" s="11">
        <f>ORCA!G426</f>
        <v>138822.65</v>
      </c>
      <c r="D26" s="12">
        <f t="shared" si="0"/>
        <v>0.11007310833514883</v>
      </c>
      <c r="E26" s="24">
        <f>SUM($C$26*F26)</f>
        <v>13882.265</v>
      </c>
      <c r="F26" s="30">
        <v>0.1</v>
      </c>
      <c r="G26" s="24">
        <f t="shared" si="1"/>
        <v>27764.53</v>
      </c>
      <c r="H26" s="30">
        <v>0.2</v>
      </c>
      <c r="I26" s="24">
        <f t="shared" si="2"/>
        <v>27764.53</v>
      </c>
      <c r="J26" s="30">
        <v>0.2</v>
      </c>
      <c r="K26" s="24">
        <f t="shared" si="3"/>
        <v>41646.795</v>
      </c>
      <c r="L26" s="30">
        <v>0.3</v>
      </c>
      <c r="M26" s="24">
        <f t="shared" si="4"/>
        <v>27764.53</v>
      </c>
      <c r="N26" s="30">
        <v>0.2</v>
      </c>
      <c r="O26" s="24">
        <f t="shared" si="5"/>
        <v>0</v>
      </c>
      <c r="P26" s="30"/>
      <c r="Q26" s="37">
        <f t="shared" si="6"/>
        <v>138822.65</v>
      </c>
      <c r="R26" s="38">
        <f t="shared" si="7"/>
        <v>1</v>
      </c>
    </row>
    <row r="27" spans="1:18" ht="12.75">
      <c r="A27" s="61">
        <v>20</v>
      </c>
      <c r="B27" s="11" t="str">
        <f>ORCA!B427</f>
        <v>PINTURA</v>
      </c>
      <c r="C27" s="11">
        <f>ORCA!G432</f>
        <v>26261.199999999997</v>
      </c>
      <c r="D27" s="12">
        <f t="shared" si="0"/>
        <v>0.02082262449687432</v>
      </c>
      <c r="E27" s="24">
        <f>SUM($C$27*F27)</f>
        <v>0</v>
      </c>
      <c r="F27" s="30"/>
      <c r="G27" s="24">
        <f t="shared" si="1"/>
        <v>0</v>
      </c>
      <c r="H27" s="30"/>
      <c r="I27" s="24">
        <f t="shared" si="2"/>
        <v>0</v>
      </c>
      <c r="J27" s="30"/>
      <c r="K27" s="24">
        <f t="shared" si="3"/>
        <v>0</v>
      </c>
      <c r="L27" s="30"/>
      <c r="M27" s="24">
        <f t="shared" si="4"/>
        <v>15756.719999999998</v>
      </c>
      <c r="N27" s="30">
        <v>0.6</v>
      </c>
      <c r="O27" s="24">
        <f t="shared" si="5"/>
        <v>10504.48</v>
      </c>
      <c r="P27" s="30">
        <v>0.4</v>
      </c>
      <c r="Q27" s="37">
        <f t="shared" si="6"/>
        <v>26261.199999999997</v>
      </c>
      <c r="R27" s="38">
        <f t="shared" si="7"/>
        <v>1</v>
      </c>
    </row>
    <row r="28" spans="1:18" ht="12.75">
      <c r="A28" s="61">
        <v>21</v>
      </c>
      <c r="B28" s="11" t="str">
        <f>ORCA!B433</f>
        <v>CLIMATIZAÇÃO</v>
      </c>
      <c r="C28" s="11">
        <f>ORCA!G437</f>
        <v>667.4000000000001</v>
      </c>
      <c r="D28" s="12">
        <f t="shared" si="0"/>
        <v>0.0005291844846851601</v>
      </c>
      <c r="E28" s="24">
        <f>SUM($C$28*F28)</f>
        <v>0</v>
      </c>
      <c r="F28" s="30"/>
      <c r="G28" s="24">
        <f t="shared" si="1"/>
        <v>0</v>
      </c>
      <c r="H28" s="30"/>
      <c r="I28" s="24">
        <f t="shared" si="2"/>
        <v>0</v>
      </c>
      <c r="J28" s="30"/>
      <c r="K28" s="24">
        <f t="shared" si="3"/>
        <v>266.96000000000004</v>
      </c>
      <c r="L28" s="30">
        <v>0.4</v>
      </c>
      <c r="M28" s="24">
        <f t="shared" si="4"/>
        <v>400.44000000000005</v>
      </c>
      <c r="N28" s="30">
        <v>0.6</v>
      </c>
      <c r="O28" s="24">
        <f t="shared" si="5"/>
        <v>0</v>
      </c>
      <c r="P28" s="30"/>
      <c r="Q28" s="37">
        <f t="shared" si="6"/>
        <v>667.4000000000001</v>
      </c>
      <c r="R28" s="38">
        <f t="shared" si="7"/>
        <v>1</v>
      </c>
    </row>
    <row r="29" spans="1:18" ht="12.75">
      <c r="A29" s="61">
        <v>22</v>
      </c>
      <c r="B29" s="11" t="str">
        <f>ORCA!B438</f>
        <v>LIMPEZA FINAL E ENTREGA DA OBRA</v>
      </c>
      <c r="C29" s="11">
        <f>ORCA!G440</f>
        <v>1755.33</v>
      </c>
      <c r="D29" s="12">
        <f t="shared" si="0"/>
        <v>0.0013918091122301496</v>
      </c>
      <c r="E29" s="24">
        <f>SUM($C$28*F29)</f>
        <v>0</v>
      </c>
      <c r="F29" s="30"/>
      <c r="G29" s="24">
        <f>SUM(C29*H29)</f>
        <v>0</v>
      </c>
      <c r="H29" s="30"/>
      <c r="I29" s="24">
        <f>SUM(C29*J29)</f>
        <v>0</v>
      </c>
      <c r="J29" s="30"/>
      <c r="K29" s="24">
        <f>SUM(C29*L29)</f>
        <v>0</v>
      </c>
      <c r="L29" s="30"/>
      <c r="M29" s="24">
        <f>SUM(C29*N29)</f>
        <v>0</v>
      </c>
      <c r="N29" s="30"/>
      <c r="O29" s="24">
        <f>SUM(C29*P29)</f>
        <v>1755.33</v>
      </c>
      <c r="P29" s="30">
        <v>1</v>
      </c>
      <c r="Q29" s="37">
        <f t="shared" si="6"/>
        <v>1755.33</v>
      </c>
      <c r="R29" s="38">
        <f t="shared" si="7"/>
        <v>1</v>
      </c>
    </row>
    <row r="30" spans="1:19" s="6" customFormat="1" ht="14.25">
      <c r="A30" s="62"/>
      <c r="B30" s="76" t="s">
        <v>50</v>
      </c>
      <c r="C30" s="99">
        <f>SUM(C8:C29)</f>
        <v>1261185.88</v>
      </c>
      <c r="D30" s="100">
        <f>SUM(D8:D29)</f>
        <v>1.0000000000000002</v>
      </c>
      <c r="E30" s="63"/>
      <c r="F30" s="64"/>
      <c r="G30" s="63"/>
      <c r="H30" s="64"/>
      <c r="I30" s="63"/>
      <c r="J30" s="64"/>
      <c r="K30" s="63"/>
      <c r="L30" s="64"/>
      <c r="M30" s="63"/>
      <c r="N30" s="64"/>
      <c r="O30" s="63"/>
      <c r="P30" s="64"/>
      <c r="Q30" s="65"/>
      <c r="R30" s="64"/>
      <c r="S30" s="52"/>
    </row>
    <row r="31" spans="1:19" s="6" customFormat="1" ht="12.75">
      <c r="A31" s="7"/>
      <c r="B31" s="4" t="s">
        <v>46</v>
      </c>
      <c r="C31" s="3"/>
      <c r="D31" s="5"/>
      <c r="E31" s="53"/>
      <c r="F31" s="31"/>
      <c r="G31" s="53"/>
      <c r="H31" s="31"/>
      <c r="I31" s="53"/>
      <c r="J31" s="31"/>
      <c r="K31" s="53"/>
      <c r="L31" s="31"/>
      <c r="M31" s="53"/>
      <c r="N31" s="31"/>
      <c r="O31" s="53"/>
      <c r="P31" s="31"/>
      <c r="Q31" s="53"/>
      <c r="R31" s="54"/>
      <c r="S31" s="52"/>
    </row>
    <row r="32" spans="1:19" s="6" customFormat="1" ht="12.75">
      <c r="A32" s="7"/>
      <c r="B32" s="4" t="s">
        <v>47</v>
      </c>
      <c r="C32" s="55"/>
      <c r="D32" s="55"/>
      <c r="E32" s="28">
        <f>SUM(E8:E28)</f>
        <v>106996.55699999999</v>
      </c>
      <c r="F32" s="31">
        <f>SUM(E32*100%/$C$30)</f>
        <v>0.08483805495824295</v>
      </c>
      <c r="G32" s="28">
        <f>SUM(G8:G28)</f>
        <v>204637.12800000003</v>
      </c>
      <c r="H32" s="31">
        <f>SUM(G32*100%/$C$30)</f>
        <v>0.16225770621535981</v>
      </c>
      <c r="I32" s="28">
        <f>SUM(I8:I28)</f>
        <v>207291.66850000006</v>
      </c>
      <c r="J32" s="31">
        <f>SUM(I32*100%/$C$30)</f>
        <v>0.1643625034083002</v>
      </c>
      <c r="K32" s="28">
        <f>SUM(K8:K28)</f>
        <v>348468.86350000004</v>
      </c>
      <c r="L32" s="31">
        <f>SUM(K32*100%/$C$30)</f>
        <v>0.276302541144847</v>
      </c>
      <c r="M32" s="28">
        <f>SUM(M8:M28)</f>
        <v>226338.35300000003</v>
      </c>
      <c r="N32" s="31">
        <f>SUM(M32*100%/$C$30)</f>
        <v>0.17946470586873367</v>
      </c>
      <c r="O32" s="28">
        <f>SUM(O8:O28)</f>
        <v>165697.98000000004</v>
      </c>
      <c r="P32" s="31">
        <f>SUM(O32*100%/$C$30)</f>
        <v>0.13138267929228645</v>
      </c>
      <c r="Q32" s="40">
        <f>SUM(Q8:Q29)</f>
        <v>1261185.88</v>
      </c>
      <c r="R32" s="31">
        <f>SUM(Q32*100%/$C$30)</f>
        <v>1</v>
      </c>
      <c r="S32" s="52"/>
    </row>
    <row r="33" spans="1:19" s="6" customFormat="1" ht="12.75">
      <c r="A33" s="7"/>
      <c r="B33" s="4" t="s">
        <v>48</v>
      </c>
      <c r="C33" s="3"/>
      <c r="D33" s="5"/>
      <c r="E33" s="53">
        <f>SUM(E32)</f>
        <v>106996.55699999999</v>
      </c>
      <c r="F33" s="31">
        <f>SUM(F32)</f>
        <v>0.08483805495824295</v>
      </c>
      <c r="G33" s="53">
        <f aca="true" t="shared" si="8" ref="G33:L33">SUM(E33+G32)</f>
        <v>311633.685</v>
      </c>
      <c r="H33" s="31">
        <f>SUM(F33+H32)</f>
        <v>0.24709576117360277</v>
      </c>
      <c r="I33" s="53">
        <f t="shared" si="8"/>
        <v>518925.3535000001</v>
      </c>
      <c r="J33" s="31">
        <f t="shared" si="8"/>
        <v>0.41145826458190293</v>
      </c>
      <c r="K33" s="53">
        <f t="shared" si="8"/>
        <v>867394.2170000002</v>
      </c>
      <c r="L33" s="31">
        <f t="shared" si="8"/>
        <v>0.6877608057267499</v>
      </c>
      <c r="M33" s="53">
        <f>SUM(K33+M32)</f>
        <v>1093732.5700000003</v>
      </c>
      <c r="N33" s="31">
        <f>SUM(L33+N32)</f>
        <v>0.8672255115954836</v>
      </c>
      <c r="O33" s="53">
        <f>SUM(M33+O32)</f>
        <v>1259430.5500000003</v>
      </c>
      <c r="P33" s="31">
        <f>SUM(N33+P32)</f>
        <v>0.99860819088777</v>
      </c>
      <c r="Q33" s="53"/>
      <c r="R33" s="54"/>
      <c r="S33" s="52"/>
    </row>
    <row r="34" spans="4:18" ht="12.75">
      <c r="D34" s="25"/>
      <c r="E34" s="15"/>
      <c r="F34" s="32"/>
      <c r="G34" s="15"/>
      <c r="H34" s="32"/>
      <c r="I34" s="23"/>
      <c r="J34" s="36"/>
      <c r="K34" s="23"/>
      <c r="L34" s="36"/>
      <c r="M34" s="15"/>
      <c r="N34" s="32"/>
      <c r="O34" s="23"/>
      <c r="P34" s="36"/>
      <c r="Q34" s="39"/>
      <c r="R34" s="39"/>
    </row>
    <row r="35" spans="4:18" ht="12.75">
      <c r="D35" s="25"/>
      <c r="E35" s="22"/>
      <c r="F35" s="58"/>
      <c r="G35" s="22"/>
      <c r="H35" s="58"/>
      <c r="I35" s="26"/>
      <c r="J35" s="57"/>
      <c r="K35" s="26"/>
      <c r="L35" s="57"/>
      <c r="M35" s="22"/>
      <c r="N35" s="58"/>
      <c r="O35" s="26"/>
      <c r="P35" s="57"/>
      <c r="Q35" s="39"/>
      <c r="R35" s="39"/>
    </row>
    <row r="36" spans="4:18" ht="12.75">
      <c r="D36" s="27"/>
      <c r="E36" s="15"/>
      <c r="F36" s="32"/>
      <c r="G36" s="15"/>
      <c r="H36" s="32"/>
      <c r="I36" s="15"/>
      <c r="J36" s="32"/>
      <c r="K36" s="15"/>
      <c r="L36" s="32"/>
      <c r="M36" s="15"/>
      <c r="N36" s="32"/>
      <c r="O36" s="15"/>
      <c r="P36" s="32"/>
      <c r="Q36" s="39"/>
      <c r="R36" s="39"/>
    </row>
    <row r="37" spans="4:18" ht="12.75">
      <c r="D37" s="266"/>
      <c r="E37" s="267"/>
      <c r="F37" s="32"/>
      <c r="G37" s="22"/>
      <c r="H37" s="58"/>
      <c r="I37" s="22"/>
      <c r="J37" s="58"/>
      <c r="K37" s="22"/>
      <c r="L37" s="58"/>
      <c r="M37" s="22"/>
      <c r="N37" s="58"/>
      <c r="O37" s="22"/>
      <c r="P37" s="58"/>
      <c r="Q37" s="39"/>
      <c r="R37" s="39"/>
    </row>
    <row r="38" spans="4:18" ht="12.75">
      <c r="D38" s="266"/>
      <c r="E38" s="267"/>
      <c r="F38" s="32"/>
      <c r="G38" s="15"/>
      <c r="H38" s="32"/>
      <c r="I38" s="15"/>
      <c r="J38" s="32"/>
      <c r="K38" s="15"/>
      <c r="L38" s="32"/>
      <c r="M38" s="15"/>
      <c r="N38" s="32"/>
      <c r="O38" s="15"/>
      <c r="P38" s="32"/>
      <c r="Q38" s="39"/>
      <c r="R38" s="39"/>
    </row>
    <row r="39" spans="4:18" ht="12.75">
      <c r="D39" s="266"/>
      <c r="E39" s="267"/>
      <c r="F39" s="32"/>
      <c r="G39" s="22"/>
      <c r="H39" s="58"/>
      <c r="I39" s="22"/>
      <c r="J39" s="58"/>
      <c r="K39" s="22"/>
      <c r="L39" s="58"/>
      <c r="M39" s="22"/>
      <c r="N39" s="58"/>
      <c r="O39" s="22"/>
      <c r="P39" s="58"/>
      <c r="Q39" s="39"/>
      <c r="R39" s="39"/>
    </row>
    <row r="40" spans="4:18" ht="12.75">
      <c r="D40" s="25"/>
      <c r="E40" s="15"/>
      <c r="F40" s="32"/>
      <c r="G40" s="15"/>
      <c r="H40" s="32"/>
      <c r="I40" s="15"/>
      <c r="J40" s="32"/>
      <c r="K40" s="15"/>
      <c r="L40" s="32"/>
      <c r="M40" s="15"/>
      <c r="N40" s="32"/>
      <c r="O40" s="15"/>
      <c r="P40" s="32"/>
      <c r="Q40" s="39"/>
      <c r="R40" s="39"/>
    </row>
    <row r="41" spans="4:18" ht="12.75">
      <c r="D41" s="25"/>
      <c r="E41" s="22"/>
      <c r="F41" s="58"/>
      <c r="G41" s="22"/>
      <c r="H41" s="58"/>
      <c r="I41" s="22"/>
      <c r="J41" s="58"/>
      <c r="K41" s="22"/>
      <c r="L41" s="58"/>
      <c r="M41" s="22"/>
      <c r="N41" s="58"/>
      <c r="O41" s="22"/>
      <c r="P41" s="58"/>
      <c r="Q41" s="39"/>
      <c r="R41" s="39"/>
    </row>
    <row r="42" spans="4:18" ht="12.75">
      <c r="D42" s="25"/>
      <c r="E42" s="16"/>
      <c r="F42" s="36"/>
      <c r="G42" s="16"/>
      <c r="H42" s="36"/>
      <c r="I42" s="16"/>
      <c r="J42" s="36"/>
      <c r="K42" s="16"/>
      <c r="L42" s="36"/>
      <c r="M42" s="16"/>
      <c r="N42" s="36"/>
      <c r="O42" s="16"/>
      <c r="P42" s="36"/>
      <c r="Q42" s="39"/>
      <c r="R42" s="39"/>
    </row>
    <row r="43" spans="4:18" ht="12.75">
      <c r="D43" s="25"/>
      <c r="E43" s="15"/>
      <c r="F43" s="32"/>
      <c r="G43" s="15"/>
      <c r="H43" s="32"/>
      <c r="I43" s="15"/>
      <c r="J43" s="32"/>
      <c r="K43" s="15"/>
      <c r="L43" s="32"/>
      <c r="M43" s="15"/>
      <c r="N43" s="32"/>
      <c r="O43" s="15"/>
      <c r="P43" s="32"/>
      <c r="Q43" s="39"/>
      <c r="R43" s="39"/>
    </row>
    <row r="44" spans="4:18" ht="12.75">
      <c r="D44" s="25"/>
      <c r="E44" s="17"/>
      <c r="F44" s="32"/>
      <c r="G44" s="17"/>
      <c r="H44" s="32"/>
      <c r="I44" s="17"/>
      <c r="J44" s="32"/>
      <c r="K44" s="17"/>
      <c r="L44" s="32"/>
      <c r="M44" s="17"/>
      <c r="N44" s="32"/>
      <c r="O44" s="17"/>
      <c r="P44" s="32"/>
      <c r="Q44" s="39"/>
      <c r="R44" s="39"/>
    </row>
    <row r="45" spans="4:18" ht="12.75">
      <c r="D45" s="25"/>
      <c r="E45" s="15"/>
      <c r="F45" s="32"/>
      <c r="G45" s="15"/>
      <c r="H45" s="32"/>
      <c r="I45" s="15"/>
      <c r="J45" s="32"/>
      <c r="K45" s="15"/>
      <c r="L45" s="32"/>
      <c r="M45" s="15"/>
      <c r="N45" s="32"/>
      <c r="O45" s="15"/>
      <c r="P45" s="32"/>
      <c r="Q45" s="39"/>
      <c r="R45" s="39"/>
    </row>
    <row r="46" spans="4:18" ht="12.75">
      <c r="D46" s="25"/>
      <c r="E46" s="16"/>
      <c r="F46" s="36"/>
      <c r="G46" s="16"/>
      <c r="H46" s="36"/>
      <c r="I46" s="16"/>
      <c r="J46" s="36"/>
      <c r="K46" s="16"/>
      <c r="L46" s="36"/>
      <c r="M46" s="16"/>
      <c r="N46" s="36"/>
      <c r="O46" s="16"/>
      <c r="P46" s="36"/>
      <c r="Q46" s="39"/>
      <c r="R46" s="39"/>
    </row>
    <row r="47" spans="4:18" ht="12.75">
      <c r="D47" s="25"/>
      <c r="E47" s="15"/>
      <c r="F47" s="32"/>
      <c r="G47" s="15"/>
      <c r="H47" s="32"/>
      <c r="I47" s="15"/>
      <c r="J47" s="32"/>
      <c r="K47" s="15"/>
      <c r="L47" s="32"/>
      <c r="M47" s="15"/>
      <c r="N47" s="32"/>
      <c r="O47" s="15"/>
      <c r="P47" s="32"/>
      <c r="Q47" s="39"/>
      <c r="R47" s="39"/>
    </row>
    <row r="48" spans="4:18" ht="12.75">
      <c r="D48" s="25"/>
      <c r="E48" s="25"/>
      <c r="F48" s="33"/>
      <c r="G48" s="25"/>
      <c r="H48" s="33"/>
      <c r="I48" s="18"/>
      <c r="J48" s="33"/>
      <c r="K48" s="25"/>
      <c r="L48" s="33"/>
      <c r="M48" s="25"/>
      <c r="N48" s="33"/>
      <c r="O48" s="18"/>
      <c r="P48" s="33"/>
      <c r="Q48" s="39"/>
      <c r="R48" s="39"/>
    </row>
    <row r="49" spans="4:18" ht="12.75">
      <c r="D49" s="25"/>
      <c r="E49" s="25"/>
      <c r="F49" s="33"/>
      <c r="G49" s="25"/>
      <c r="H49" s="33"/>
      <c r="I49" s="18"/>
      <c r="J49" s="33"/>
      <c r="K49" s="25"/>
      <c r="L49" s="33"/>
      <c r="M49" s="25"/>
      <c r="N49" s="33"/>
      <c r="O49" s="18"/>
      <c r="P49" s="33"/>
      <c r="Q49" s="39"/>
      <c r="R49" s="39"/>
    </row>
    <row r="50" spans="4:18" ht="12.75">
      <c r="D50" s="25"/>
      <c r="E50" s="25"/>
      <c r="F50" s="33"/>
      <c r="G50" s="25"/>
      <c r="H50" s="33"/>
      <c r="I50" s="18"/>
      <c r="J50" s="33"/>
      <c r="K50" s="25"/>
      <c r="L50" s="33"/>
      <c r="M50" s="25"/>
      <c r="N50" s="33"/>
      <c r="O50" s="18"/>
      <c r="P50" s="33"/>
      <c r="Q50" s="18"/>
      <c r="R50" s="18"/>
    </row>
    <row r="51" spans="4:18" ht="12.75">
      <c r="D51" s="25"/>
      <c r="E51" s="25"/>
      <c r="F51" s="33"/>
      <c r="G51" s="25"/>
      <c r="H51" s="33"/>
      <c r="I51" s="18"/>
      <c r="J51" s="33"/>
      <c r="K51" s="25"/>
      <c r="L51" s="33"/>
      <c r="M51" s="25"/>
      <c r="N51" s="33"/>
      <c r="O51" s="18"/>
      <c r="P51" s="33"/>
      <c r="Q51" s="18"/>
      <c r="R51" s="18"/>
    </row>
    <row r="52" spans="4:18" ht="12.75">
      <c r="D52" s="25"/>
      <c r="E52" s="25"/>
      <c r="F52" s="33"/>
      <c r="G52" s="25"/>
      <c r="H52" s="33"/>
      <c r="I52" s="18"/>
      <c r="J52" s="33"/>
      <c r="K52" s="25"/>
      <c r="L52" s="33"/>
      <c r="M52" s="25"/>
      <c r="N52" s="33"/>
      <c r="O52" s="18"/>
      <c r="P52" s="33"/>
      <c r="Q52" s="18"/>
      <c r="R52" s="18"/>
    </row>
    <row r="53" spans="4:13" ht="12.75">
      <c r="D53" s="10"/>
      <c r="E53" s="10"/>
      <c r="G53" s="10"/>
      <c r="K53" s="10"/>
      <c r="M53" s="10"/>
    </row>
    <row r="54" spans="4:13" ht="12.75">
      <c r="D54" s="10"/>
      <c r="E54" s="10"/>
      <c r="G54" s="10"/>
      <c r="K54" s="10"/>
      <c r="M54" s="10"/>
    </row>
    <row r="55" spans="4:13" ht="12.75">
      <c r="D55" s="10"/>
      <c r="E55" s="10"/>
      <c r="G55" s="10"/>
      <c r="K55" s="10"/>
      <c r="M55" s="10"/>
    </row>
    <row r="56" spans="4:13" ht="12.75">
      <c r="D56" s="10"/>
      <c r="E56" s="10"/>
      <c r="G56" s="10"/>
      <c r="K56" s="10"/>
      <c r="M56" s="10"/>
    </row>
    <row r="57" spans="4:13" ht="12.75">
      <c r="D57" s="10"/>
      <c r="E57" s="10"/>
      <c r="G57" s="10"/>
      <c r="K57" s="10"/>
      <c r="M57" s="10"/>
    </row>
    <row r="58" spans="4:13" ht="12.75">
      <c r="D58" s="10"/>
      <c r="E58" s="10"/>
      <c r="G58" s="10"/>
      <c r="K58" s="10"/>
      <c r="M58" s="10"/>
    </row>
    <row r="59" spans="4:13" ht="12.75">
      <c r="D59" s="10"/>
      <c r="E59" s="10"/>
      <c r="G59" s="10"/>
      <c r="K59" s="10"/>
      <c r="M59" s="10"/>
    </row>
    <row r="60" spans="4:13" ht="12.75">
      <c r="D60" s="10"/>
      <c r="E60" s="10"/>
      <c r="G60" s="10"/>
      <c r="K60" s="10"/>
      <c r="M60" s="10"/>
    </row>
  </sheetData>
  <sheetProtection/>
  <mergeCells count="10">
    <mergeCell ref="O6:P6"/>
    <mergeCell ref="A3:R3"/>
    <mergeCell ref="E6:F6"/>
    <mergeCell ref="G6:H6"/>
    <mergeCell ref="I6:J6"/>
    <mergeCell ref="K6:L6"/>
    <mergeCell ref="A6:A7"/>
    <mergeCell ref="B6:B7"/>
    <mergeCell ref="D6:D7"/>
    <mergeCell ref="M6:N6"/>
  </mergeCells>
  <printOptions/>
  <pageMargins left="0.7086614173228347" right="0.2755905511811024" top="2.1653543307086616" bottom="0.1968503937007874" header="0.7480314960629921" footer="0.1968503937007874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Timbo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Felipe Ramos dos Santos</cp:lastModifiedBy>
  <cp:lastPrinted>2016-05-27T12:10:46Z</cp:lastPrinted>
  <dcterms:created xsi:type="dcterms:W3CDTF">2001-12-06T19:05:24Z</dcterms:created>
  <dcterms:modified xsi:type="dcterms:W3CDTF">2016-05-27T12:11:16Z</dcterms:modified>
  <cp:category/>
  <cp:version/>
  <cp:contentType/>
  <cp:contentStatus/>
</cp:coreProperties>
</file>